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22995" windowHeight="10305" activeTab="2"/>
  </bookViews>
  <sheets>
    <sheet name="Design tool" sheetId="1" r:id="rId1"/>
    <sheet name="Typ Max load Thermal results" sheetId="2" r:id="rId2"/>
    <sheet name="Minimum Vin" sheetId="3" r:id="rId3"/>
  </sheets>
  <externalReferences>
    <externalReference r:id="rId4"/>
    <externalReference r:id="rId5"/>
    <externalReference r:id="rId6"/>
  </externalReferences>
  <definedNames>
    <definedName name="Cesr">'Design tool'!$T$14</definedName>
    <definedName name="com_c1">'Design tool'!$W$18</definedName>
    <definedName name="comp_C1">'Design tool'!$T$24</definedName>
    <definedName name="comp_C2">'Design tool'!$T$25</definedName>
    <definedName name="comp_R2">'Design tool'!$B$8</definedName>
    <definedName name="Cout">'Design tool'!$T$13</definedName>
    <definedName name="D">'Design tool'!$S$18</definedName>
    <definedName name="D_">'Design tool'!$T$1</definedName>
    <definedName name="Dmax">'Design tool'!$T$11</definedName>
    <definedName name="Enter_Values">'Design tool'!$B$2:$B$13</definedName>
    <definedName name="Fsw" localSheetId="1">#REF!</definedName>
    <definedName name="Fsw">'Design tool'!$S$9</definedName>
    <definedName name="FswMax">'Typ Max load Thermal results'!$E$20</definedName>
    <definedName name="FswNom">'Typ Max load Thermal results'!$H$9</definedName>
    <definedName name="gm">'Design tool'!$T$19</definedName>
    <definedName name="ILIM">#REF!</definedName>
    <definedName name="ILIM8902">#REF!</definedName>
    <definedName name="Ind">#REF!</definedName>
    <definedName name="Iout">'Typ Max load Thermal results'!$H$6</definedName>
    <definedName name="Iq">'Typ Max load Thermal results'!$H$17</definedName>
    <definedName name="L">'Design tool'!$T$29</definedName>
    <definedName name="LDOLoad">'Typ Max load Thermal results'!$H$16</definedName>
    <definedName name="LoadRef">'Typ Max load Thermal results'!$H$7</definedName>
    <definedName name="mc">'Design tool'!$T$8</definedName>
    <definedName name="OutCur">'Typ Max load Thermal results'!$H$6</definedName>
    <definedName name="R0">'Design tool'!$T$17</definedName>
    <definedName name="Rdson">#REF!</definedName>
    <definedName name="Rdson1p2A">'Typ Max load Thermal results'!$H$13</definedName>
    <definedName name="Rout">'Design tool'!$T$9</definedName>
    <definedName name="Rout_">'Design tool'!$S$24</definedName>
    <definedName name="Rthetaja">'Typ Max load Thermal results'!$H$14</definedName>
    <definedName name="SC">#REF!</definedName>
    <definedName name="SCstart">#REF!</definedName>
    <definedName name="sssss">'Design tool'!$U$9</definedName>
    <definedName name="SWscaling">'Typ Max load Thermal results'!$O$14</definedName>
    <definedName name="SWscaling3">'Typ Max load Thermal results'!$Q$14</definedName>
    <definedName name="t1ref">'Typ Max load Thermal results'!$E$24</definedName>
    <definedName name="t2ref">'Typ Max load Thermal results'!$E$25</definedName>
    <definedName name="t3ref">'Typ Max load Thermal results'!$E$26</definedName>
    <definedName name="t4ref">'Typ Max load Thermal results'!$E$27</definedName>
    <definedName name="Tsw_">'Design tool'!$T$3</definedName>
    <definedName name="UseLDO">'Typ Max load Thermal results'!$J$16</definedName>
    <definedName name="Vd">#REF!</definedName>
    <definedName name="Vdiode">'Typ Max load Thermal results'!$H$11</definedName>
    <definedName name="Vin">#REF!</definedName>
    <definedName name="VinILIM">#REF!</definedName>
    <definedName name="VinILIM13">#REF!</definedName>
    <definedName name="VinILIM16">#REF!</definedName>
    <definedName name="Vinref">'Typ Max load Thermal results'!$E$19</definedName>
    <definedName name="Vout">'Typ Max load Thermal results'!$H$5</definedName>
    <definedName name="Vout_">'Design tool'!$T$30</definedName>
    <definedName name="Vout33">#REF!</definedName>
    <definedName name="Vout3p3">'Typ Max load Thermal results'!#REF!</definedName>
    <definedName name="Vout5p0">'Typ Max load Thermal results'!#REF!</definedName>
    <definedName name="wp1e">'Design tool'!$T$22</definedName>
    <definedName name="wp2e">'Design tool'!$T$23</definedName>
    <definedName name="wz2e">'Design tool'!$T$21</definedName>
  </definedNames>
  <calcPr calcId="145621"/>
</workbook>
</file>

<file path=xl/calcChain.xml><?xml version="1.0" encoding="utf-8"?>
<calcChain xmlns="http://schemas.openxmlformats.org/spreadsheetml/2006/main">
  <c r="E16" i="3" l="1"/>
  <c r="D16" i="3"/>
  <c r="E15" i="3"/>
  <c r="D15" i="3"/>
  <c r="E14" i="3"/>
  <c r="D14" i="3"/>
  <c r="E13" i="3"/>
  <c r="D13" i="3"/>
  <c r="E12" i="3"/>
  <c r="D12" i="3"/>
  <c r="E11" i="3"/>
  <c r="D11" i="3"/>
  <c r="E10" i="3"/>
  <c r="D10" i="3"/>
  <c r="E9" i="3"/>
  <c r="D9" i="3"/>
  <c r="E8" i="3"/>
  <c r="D8" i="3"/>
  <c r="E4" i="3"/>
  <c r="E3" i="3"/>
  <c r="J46" i="2"/>
  <c r="I46" i="2"/>
  <c r="H46" i="2"/>
  <c r="G46" i="2"/>
  <c r="F46" i="2"/>
  <c r="E46" i="2"/>
  <c r="J39" i="2"/>
  <c r="I39" i="2"/>
  <c r="H39" i="2"/>
  <c r="G39" i="2"/>
  <c r="F39" i="2"/>
  <c r="E39" i="2"/>
  <c r="J34" i="2"/>
  <c r="I34" i="2"/>
  <c r="H34" i="2"/>
  <c r="G34" i="2"/>
  <c r="F34" i="2"/>
  <c r="E34" i="2"/>
  <c r="F30" i="2"/>
  <c r="J27" i="2"/>
  <c r="I27" i="2"/>
  <c r="H27" i="2"/>
  <c r="G27" i="2"/>
  <c r="G32" i="2" s="1"/>
  <c r="F27" i="2"/>
  <c r="J26" i="2"/>
  <c r="I26" i="2"/>
  <c r="H26" i="2"/>
  <c r="G26" i="2"/>
  <c r="F26" i="2"/>
  <c r="J25" i="2"/>
  <c r="I25" i="2"/>
  <c r="H25" i="2"/>
  <c r="G25" i="2"/>
  <c r="F25" i="2"/>
  <c r="J24" i="2"/>
  <c r="I24" i="2"/>
  <c r="H24" i="2"/>
  <c r="G24" i="2"/>
  <c r="F24" i="2"/>
  <c r="J22" i="2"/>
  <c r="I22" i="2"/>
  <c r="H22" i="2"/>
  <c r="G22" i="2"/>
  <c r="F22" i="2"/>
  <c r="E22" i="2"/>
  <c r="J20" i="2"/>
  <c r="J31" i="2" s="1"/>
  <c r="I20" i="2"/>
  <c r="I31" i="2" s="1"/>
  <c r="H20" i="2"/>
  <c r="H37" i="2" s="1"/>
  <c r="G20" i="2"/>
  <c r="G31" i="2" s="1"/>
  <c r="F20" i="2"/>
  <c r="F31" i="2" s="1"/>
  <c r="E20" i="2"/>
  <c r="E37" i="2" s="1"/>
  <c r="G30" i="2" l="1"/>
  <c r="F37" i="2"/>
  <c r="J30" i="2"/>
  <c r="G37" i="2"/>
  <c r="F32" i="2"/>
  <c r="J32" i="2"/>
  <c r="J37" i="2"/>
  <c r="H31" i="2"/>
  <c r="E29" i="2"/>
  <c r="I29" i="2"/>
  <c r="E31" i="2"/>
  <c r="G29" i="2"/>
  <c r="G33" i="2" s="1"/>
  <c r="G35" i="2" s="1"/>
  <c r="G41" i="2" s="1"/>
  <c r="G43" i="2" s="1"/>
  <c r="G44" i="2" s="1"/>
  <c r="E30" i="2"/>
  <c r="I30" i="2"/>
  <c r="E32" i="2"/>
  <c r="I32" i="2"/>
  <c r="I37" i="2"/>
  <c r="H29" i="2"/>
  <c r="H33" i="2" s="1"/>
  <c r="H35" i="2" s="1"/>
  <c r="H41" i="2" s="1"/>
  <c r="H43" i="2" s="1"/>
  <c r="H44" i="2" s="1"/>
  <c r="F29" i="2"/>
  <c r="F33" i="2" s="1"/>
  <c r="F35" i="2" s="1"/>
  <c r="F41" i="2" s="1"/>
  <c r="F43" i="2" s="1"/>
  <c r="F44" i="2" s="1"/>
  <c r="J29" i="2"/>
  <c r="J33" i="2" s="1"/>
  <c r="J35" i="2" s="1"/>
  <c r="J41" i="2" s="1"/>
  <c r="J43" i="2" s="1"/>
  <c r="J44" i="2" s="1"/>
  <c r="H30" i="2"/>
  <c r="H32" i="2"/>
  <c r="B33" i="1"/>
  <c r="B32" i="1"/>
  <c r="I33" i="2" l="1"/>
  <c r="I35" i="2" s="1"/>
  <c r="I41" i="2" s="1"/>
  <c r="I43" i="2" s="1"/>
  <c r="I44" i="2" s="1"/>
  <c r="E33" i="2"/>
  <c r="E35" i="2" s="1"/>
  <c r="E41" i="2" s="1"/>
  <c r="E43" i="2" s="1"/>
  <c r="E44" i="2" s="1"/>
  <c r="B7" i="1"/>
  <c r="B4" i="1" l="1"/>
  <c r="G12" i="1" l="1"/>
  <c r="G4" i="1"/>
  <c r="D7" i="1"/>
  <c r="T19" i="1" l="1"/>
  <c r="T17" i="1"/>
  <c r="T14" i="1"/>
  <c r="T13" i="1"/>
  <c r="T30" i="1"/>
  <c r="T29" i="1"/>
  <c r="Z3" i="1"/>
  <c r="Z4" i="1"/>
  <c r="AA4" i="1" s="1"/>
  <c r="Z5" i="1"/>
  <c r="Z6" i="1"/>
  <c r="AA6" i="1" s="1"/>
  <c r="Z7" i="1"/>
  <c r="Z8" i="1"/>
  <c r="Z9" i="1"/>
  <c r="Z10" i="1"/>
  <c r="Z11" i="1"/>
  <c r="Z12" i="1"/>
  <c r="Z13" i="1"/>
  <c r="Z14" i="1"/>
  <c r="Z15" i="1"/>
  <c r="Z16" i="1"/>
  <c r="AA16" i="1" s="1"/>
  <c r="Z17" i="1"/>
  <c r="Z18" i="1"/>
  <c r="AA18" i="1" s="1"/>
  <c r="Z19" i="1"/>
  <c r="Z20" i="1"/>
  <c r="AA20" i="1" s="1"/>
  <c r="Z21" i="1"/>
  <c r="Z22" i="1"/>
  <c r="AA22" i="1" s="1"/>
  <c r="Z23" i="1"/>
  <c r="Z24" i="1"/>
  <c r="AA24" i="1" s="1"/>
  <c r="Z25" i="1"/>
  <c r="Z26" i="1"/>
  <c r="AA26" i="1" s="1"/>
  <c r="Z27" i="1"/>
  <c r="Z28" i="1"/>
  <c r="AA28" i="1" s="1"/>
  <c r="Z29" i="1"/>
  <c r="Z30" i="1"/>
  <c r="AA30" i="1" s="1"/>
  <c r="Z31" i="1"/>
  <c r="Z32" i="1"/>
  <c r="AA32" i="1" s="1"/>
  <c r="Z33" i="1"/>
  <c r="Z34" i="1"/>
  <c r="AA34" i="1" s="1"/>
  <c r="Z35" i="1"/>
  <c r="Z36" i="1"/>
  <c r="AA36" i="1" s="1"/>
  <c r="Z37" i="1"/>
  <c r="Z38" i="1"/>
  <c r="AA38" i="1" s="1"/>
  <c r="Z39" i="1"/>
  <c r="Z40" i="1"/>
  <c r="AA40" i="1" s="1"/>
  <c r="Z41" i="1"/>
  <c r="Z42" i="1"/>
  <c r="AA42" i="1" s="1"/>
  <c r="Z43" i="1"/>
  <c r="Z44" i="1"/>
  <c r="AA44" i="1" s="1"/>
  <c r="Z45" i="1"/>
  <c r="Z46" i="1"/>
  <c r="AA46" i="1" s="1"/>
  <c r="Z47" i="1"/>
  <c r="Z48" i="1"/>
  <c r="AA48" i="1" s="1"/>
  <c r="Z49" i="1"/>
  <c r="Z50" i="1"/>
  <c r="AA50" i="1" s="1"/>
  <c r="Z51" i="1"/>
  <c r="Z52" i="1"/>
  <c r="AA52" i="1" s="1"/>
  <c r="Z53" i="1"/>
  <c r="Z54" i="1"/>
  <c r="AA54" i="1" s="1"/>
  <c r="Z55" i="1"/>
  <c r="Z56" i="1"/>
  <c r="AA56" i="1" s="1"/>
  <c r="Z57" i="1"/>
  <c r="Z58" i="1"/>
  <c r="AA58" i="1" s="1"/>
  <c r="Z59" i="1"/>
  <c r="Z60" i="1"/>
  <c r="AA60" i="1" s="1"/>
  <c r="Z61" i="1"/>
  <c r="Z62" i="1"/>
  <c r="AA62" i="1" s="1"/>
  <c r="Z63" i="1"/>
  <c r="Z64" i="1"/>
  <c r="AA64" i="1" s="1"/>
  <c r="Z65" i="1"/>
  <c r="Z66" i="1"/>
  <c r="AA66" i="1" s="1"/>
  <c r="Z67" i="1"/>
  <c r="Z68" i="1"/>
  <c r="AA68" i="1" s="1"/>
  <c r="Z69" i="1"/>
  <c r="Z70" i="1"/>
  <c r="AA70" i="1" s="1"/>
  <c r="Z71" i="1"/>
  <c r="Z72" i="1"/>
  <c r="AA72" i="1" s="1"/>
  <c r="Z73" i="1"/>
  <c r="Z74" i="1"/>
  <c r="AA74" i="1" s="1"/>
  <c r="Z75" i="1"/>
  <c r="Z76" i="1"/>
  <c r="AA76" i="1" s="1"/>
  <c r="Z77" i="1"/>
  <c r="Z78" i="1"/>
  <c r="AA78" i="1" s="1"/>
  <c r="Z79" i="1"/>
  <c r="Z80" i="1"/>
  <c r="AA80" i="1" s="1"/>
  <c r="Z81" i="1"/>
  <c r="Z82" i="1"/>
  <c r="AA82" i="1" s="1"/>
  <c r="Z83" i="1"/>
  <c r="Z84" i="1"/>
  <c r="AA84" i="1" s="1"/>
  <c r="Z85" i="1"/>
  <c r="Z86" i="1"/>
  <c r="AA86" i="1" s="1"/>
  <c r="Z87" i="1"/>
  <c r="Z88" i="1"/>
  <c r="AA88" i="1" s="1"/>
  <c r="Z89" i="1"/>
  <c r="Z90" i="1"/>
  <c r="AA90" i="1" s="1"/>
  <c r="Z91" i="1"/>
  <c r="Z92" i="1"/>
  <c r="AA92" i="1" s="1"/>
  <c r="Z93" i="1"/>
  <c r="Z94" i="1"/>
  <c r="AA94" i="1" s="1"/>
  <c r="Z95" i="1"/>
  <c r="Z96" i="1"/>
  <c r="AA96" i="1" s="1"/>
  <c r="Z97" i="1"/>
  <c r="Z98" i="1"/>
  <c r="AA98" i="1" s="1"/>
  <c r="Z99" i="1"/>
  <c r="Z100" i="1"/>
  <c r="AA100" i="1" s="1"/>
  <c r="Z101" i="1"/>
  <c r="Z102" i="1"/>
  <c r="AA102" i="1" s="1"/>
  <c r="Z103" i="1"/>
  <c r="Z104" i="1"/>
  <c r="AA104" i="1" s="1"/>
  <c r="Z105" i="1"/>
  <c r="Z106" i="1"/>
  <c r="AA106" i="1" s="1"/>
  <c r="Z107" i="1"/>
  <c r="Z108" i="1"/>
  <c r="AA108" i="1" s="1"/>
  <c r="Z109" i="1"/>
  <c r="Z110" i="1"/>
  <c r="AA110" i="1" s="1"/>
  <c r="Z111" i="1"/>
  <c r="Z112" i="1"/>
  <c r="AA112" i="1" s="1"/>
  <c r="Z113" i="1"/>
  <c r="Z114" i="1"/>
  <c r="AA114" i="1" s="1"/>
  <c r="Z115" i="1"/>
  <c r="Z116" i="1"/>
  <c r="AA116" i="1" s="1"/>
  <c r="Z117" i="1"/>
  <c r="Z118" i="1"/>
  <c r="AA118" i="1" s="1"/>
  <c r="Z119" i="1"/>
  <c r="Z120" i="1"/>
  <c r="AA120" i="1" s="1"/>
  <c r="Z121" i="1"/>
  <c r="Z122" i="1"/>
  <c r="AA122" i="1" s="1"/>
  <c r="Z123" i="1"/>
  <c r="Z124" i="1"/>
  <c r="AA124" i="1" s="1"/>
  <c r="Z125" i="1"/>
  <c r="Z126" i="1"/>
  <c r="AA126" i="1" s="1"/>
  <c r="Z127" i="1"/>
  <c r="Z128" i="1"/>
  <c r="AA128" i="1" s="1"/>
  <c r="Z129" i="1"/>
  <c r="Z130" i="1"/>
  <c r="AA130" i="1" s="1"/>
  <c r="Z131" i="1"/>
  <c r="Z132" i="1"/>
  <c r="AA132" i="1" s="1"/>
  <c r="Z133" i="1"/>
  <c r="Z134" i="1"/>
  <c r="AA134" i="1" s="1"/>
  <c r="Z135" i="1"/>
  <c r="Z136" i="1"/>
  <c r="AA136" i="1" s="1"/>
  <c r="Z137" i="1"/>
  <c r="Z138" i="1"/>
  <c r="AA138" i="1" s="1"/>
  <c r="Z139" i="1"/>
  <c r="Z140" i="1"/>
  <c r="AA140" i="1" s="1"/>
  <c r="Z141" i="1"/>
  <c r="Z142" i="1"/>
  <c r="AA142" i="1" s="1"/>
  <c r="Z143" i="1"/>
  <c r="Z144" i="1"/>
  <c r="AA144" i="1" s="1"/>
  <c r="Z145" i="1"/>
  <c r="Z146" i="1"/>
  <c r="AA146" i="1" s="1"/>
  <c r="Z147" i="1"/>
  <c r="Z148" i="1"/>
  <c r="AA148" i="1" s="1"/>
  <c r="Z149" i="1"/>
  <c r="Z150" i="1"/>
  <c r="AA150" i="1" s="1"/>
  <c r="Z151" i="1"/>
  <c r="Z152" i="1"/>
  <c r="AA152" i="1" s="1"/>
  <c r="Z153" i="1"/>
  <c r="Z154" i="1"/>
  <c r="AA154" i="1" s="1"/>
  <c r="Z155" i="1"/>
  <c r="Z156" i="1"/>
  <c r="AA156" i="1" s="1"/>
  <c r="Z157" i="1"/>
  <c r="Z158" i="1"/>
  <c r="AA158" i="1" s="1"/>
  <c r="Z159" i="1"/>
  <c r="Z160" i="1"/>
  <c r="AA160" i="1" s="1"/>
  <c r="Z161" i="1"/>
  <c r="Z162" i="1"/>
  <c r="AA162" i="1" s="1"/>
  <c r="Z163" i="1"/>
  <c r="Z164" i="1"/>
  <c r="AA164" i="1" s="1"/>
  <c r="Z165" i="1"/>
  <c r="Z166" i="1"/>
  <c r="AA166" i="1" s="1"/>
  <c r="Z167" i="1"/>
  <c r="Z168" i="1"/>
  <c r="AA168" i="1" s="1"/>
  <c r="Z169" i="1"/>
  <c r="Z170" i="1"/>
  <c r="AA170" i="1" s="1"/>
  <c r="Z171" i="1"/>
  <c r="Z172" i="1"/>
  <c r="AA172" i="1" s="1"/>
  <c r="Z173" i="1"/>
  <c r="Z174" i="1"/>
  <c r="AA174" i="1" s="1"/>
  <c r="Z175" i="1"/>
  <c r="Z176" i="1"/>
  <c r="AA176" i="1" s="1"/>
  <c r="Z177" i="1"/>
  <c r="Z178" i="1"/>
  <c r="AA178" i="1" s="1"/>
  <c r="Z179" i="1"/>
  <c r="Z180" i="1"/>
  <c r="AA180" i="1" s="1"/>
  <c r="Z181" i="1"/>
  <c r="Z182" i="1"/>
  <c r="AA182" i="1" s="1"/>
  <c r="Z183" i="1"/>
  <c r="Z184" i="1"/>
  <c r="AA184" i="1" s="1"/>
  <c r="Z185" i="1"/>
  <c r="Z186" i="1"/>
  <c r="AA186" i="1" s="1"/>
  <c r="Z187" i="1"/>
  <c r="Z188" i="1"/>
  <c r="AA188" i="1" s="1"/>
  <c r="Z189" i="1"/>
  <c r="Z190" i="1"/>
  <c r="AA190" i="1" s="1"/>
  <c r="Z191" i="1"/>
  <c r="Z192" i="1"/>
  <c r="AA192" i="1" s="1"/>
  <c r="Z193" i="1"/>
  <c r="Z194" i="1"/>
  <c r="AA194" i="1" s="1"/>
  <c r="Z195" i="1"/>
  <c r="Z196" i="1"/>
  <c r="AA196" i="1" s="1"/>
  <c r="Z197" i="1"/>
  <c r="Z198" i="1"/>
  <c r="AA198" i="1" s="1"/>
  <c r="Z199" i="1"/>
  <c r="Z200" i="1"/>
  <c r="AA200" i="1" s="1"/>
  <c r="Z201" i="1"/>
  <c r="Z202" i="1"/>
  <c r="AA202" i="1" s="1"/>
  <c r="Z2" i="1"/>
  <c r="AA2" i="1" s="1"/>
  <c r="W5" i="1"/>
  <c r="T7" i="1"/>
  <c r="T8" i="1" s="1"/>
  <c r="B18" i="1"/>
  <c r="B38" i="1"/>
  <c r="AK2" i="1" s="1"/>
  <c r="B37" i="1"/>
  <c r="B29" i="1"/>
  <c r="B30" i="1" s="1"/>
  <c r="B23" i="1"/>
  <c r="T3" i="1"/>
  <c r="AA201" i="1"/>
  <c r="AA199" i="1"/>
  <c r="AA197" i="1"/>
  <c r="AA195" i="1"/>
  <c r="AA193" i="1"/>
  <c r="AA191" i="1"/>
  <c r="AA189" i="1"/>
  <c r="AA187" i="1"/>
  <c r="AA185" i="1"/>
  <c r="AA183" i="1"/>
  <c r="AA181" i="1"/>
  <c r="AA179" i="1"/>
  <c r="AA177" i="1"/>
  <c r="AA175" i="1"/>
  <c r="AA173" i="1"/>
  <c r="AA171" i="1"/>
  <c r="AA169" i="1"/>
  <c r="AA167" i="1"/>
  <c r="AA165" i="1"/>
  <c r="AA163" i="1"/>
  <c r="AA161" i="1"/>
  <c r="AA159" i="1"/>
  <c r="AA157" i="1"/>
  <c r="AA155" i="1"/>
  <c r="AA153" i="1"/>
  <c r="AA151" i="1"/>
  <c r="AA149" i="1"/>
  <c r="AA147" i="1"/>
  <c r="AA145" i="1"/>
  <c r="AA143" i="1"/>
  <c r="AA141" i="1"/>
  <c r="AA139" i="1"/>
  <c r="AA137" i="1"/>
  <c r="AA135" i="1"/>
  <c r="AA133" i="1"/>
  <c r="AA131" i="1"/>
  <c r="AA129" i="1"/>
  <c r="AA127" i="1"/>
  <c r="AA125" i="1"/>
  <c r="AA123" i="1"/>
  <c r="AA121" i="1"/>
  <c r="AA119" i="1"/>
  <c r="AA117" i="1"/>
  <c r="AA115" i="1"/>
  <c r="AA113" i="1"/>
  <c r="AA111" i="1"/>
  <c r="AA109" i="1"/>
  <c r="AA107" i="1"/>
  <c r="AA105" i="1"/>
  <c r="AA103" i="1"/>
  <c r="AA101" i="1"/>
  <c r="AA99" i="1"/>
  <c r="AA97" i="1"/>
  <c r="AA95" i="1"/>
  <c r="AA93" i="1"/>
  <c r="AA91" i="1"/>
  <c r="AA89" i="1"/>
  <c r="AA87" i="1"/>
  <c r="AA85" i="1"/>
  <c r="AA83" i="1"/>
  <c r="AA81" i="1"/>
  <c r="AA79" i="1"/>
  <c r="AA77" i="1"/>
  <c r="AA75" i="1"/>
  <c r="AA73" i="1"/>
  <c r="AA71" i="1"/>
  <c r="AA69" i="1"/>
  <c r="AA67" i="1"/>
  <c r="AA65" i="1"/>
  <c r="AA63" i="1"/>
  <c r="AA61" i="1"/>
  <c r="AA59" i="1"/>
  <c r="AA57" i="1"/>
  <c r="AA55" i="1"/>
  <c r="AA53" i="1"/>
  <c r="AA51" i="1"/>
  <c r="AA49" i="1"/>
  <c r="AA47" i="1"/>
  <c r="AA45" i="1"/>
  <c r="AA43" i="1"/>
  <c r="AA41" i="1"/>
  <c r="AA39" i="1"/>
  <c r="AA37" i="1"/>
  <c r="AA35" i="1"/>
  <c r="AA33" i="1"/>
  <c r="AA31" i="1"/>
  <c r="AA29" i="1"/>
  <c r="AA27" i="1"/>
  <c r="AA25" i="1"/>
  <c r="AA23" i="1"/>
  <c r="AA21" i="1"/>
  <c r="AA19" i="1"/>
  <c r="AA17" i="1"/>
  <c r="AA15" i="1"/>
  <c r="T16" i="1"/>
  <c r="AA14" i="1"/>
  <c r="AA13" i="1"/>
  <c r="AA12" i="1"/>
  <c r="AA11" i="1"/>
  <c r="AA10" i="1"/>
  <c r="AA9" i="1"/>
  <c r="AA8" i="1"/>
  <c r="AA7" i="1"/>
  <c r="AA5" i="1"/>
  <c r="AA3" i="1"/>
  <c r="AB3" i="1" l="1"/>
  <c r="AB7" i="1"/>
  <c r="AB11" i="1"/>
  <c r="AB15" i="1"/>
  <c r="AB19" i="1"/>
  <c r="AB23" i="1"/>
  <c r="AB27" i="1"/>
  <c r="AB31" i="1"/>
  <c r="AB35" i="1"/>
  <c r="AB39" i="1"/>
  <c r="AB43" i="1"/>
  <c r="AB47" i="1"/>
  <c r="AB51" i="1"/>
  <c r="AB55" i="1"/>
  <c r="AB59" i="1"/>
  <c r="AB63" i="1"/>
  <c r="AB67" i="1"/>
  <c r="AB71" i="1"/>
  <c r="AB75" i="1"/>
  <c r="AB79" i="1"/>
  <c r="AB83" i="1"/>
  <c r="AB87" i="1"/>
  <c r="AB91" i="1"/>
  <c r="AB95" i="1"/>
  <c r="AB99" i="1"/>
  <c r="AB103" i="1"/>
  <c r="AB107" i="1"/>
  <c r="AB111" i="1"/>
  <c r="AB115" i="1"/>
  <c r="AB119" i="1"/>
  <c r="AB123" i="1"/>
  <c r="AB127" i="1"/>
  <c r="AB131" i="1"/>
  <c r="AB135" i="1"/>
  <c r="AB139" i="1"/>
  <c r="AB143" i="1"/>
  <c r="AB147" i="1"/>
  <c r="AB151" i="1"/>
  <c r="AB155" i="1"/>
  <c r="AB159" i="1"/>
  <c r="AB163" i="1"/>
  <c r="AB167" i="1"/>
  <c r="AB171" i="1"/>
  <c r="AB175" i="1"/>
  <c r="AB179" i="1"/>
  <c r="AB183" i="1"/>
  <c r="AB187" i="1"/>
  <c r="AB191" i="1"/>
  <c r="AB195" i="1"/>
  <c r="AB199" i="1"/>
  <c r="AB2" i="1"/>
  <c r="AB21" i="1"/>
  <c r="AB57" i="1"/>
  <c r="AB65" i="1"/>
  <c r="AB77" i="1"/>
  <c r="AB85" i="1"/>
  <c r="AB93" i="1"/>
  <c r="AB101" i="1"/>
  <c r="AB109" i="1"/>
  <c r="AB117" i="1"/>
  <c r="AB125" i="1"/>
  <c r="AB133" i="1"/>
  <c r="AB141" i="1"/>
  <c r="AB149" i="1"/>
  <c r="AB157" i="1"/>
  <c r="AB165" i="1"/>
  <c r="AB173" i="1"/>
  <c r="AB181" i="1"/>
  <c r="AB189" i="1"/>
  <c r="AB197" i="1"/>
  <c r="AB6" i="1"/>
  <c r="AB18" i="1"/>
  <c r="AB26" i="1"/>
  <c r="AB34" i="1"/>
  <c r="AB38" i="1"/>
  <c r="AB4" i="1"/>
  <c r="AB8" i="1"/>
  <c r="AB12" i="1"/>
  <c r="AB16" i="1"/>
  <c r="AB20" i="1"/>
  <c r="AB24" i="1"/>
  <c r="AB28" i="1"/>
  <c r="AB32" i="1"/>
  <c r="AB36" i="1"/>
  <c r="AB40" i="1"/>
  <c r="AB44" i="1"/>
  <c r="AB48" i="1"/>
  <c r="AB52" i="1"/>
  <c r="AB56" i="1"/>
  <c r="AB60" i="1"/>
  <c r="AB64" i="1"/>
  <c r="AB68" i="1"/>
  <c r="AB72" i="1"/>
  <c r="AB76" i="1"/>
  <c r="AB80" i="1"/>
  <c r="AB84" i="1"/>
  <c r="AB88" i="1"/>
  <c r="AB92" i="1"/>
  <c r="AB96" i="1"/>
  <c r="AB100" i="1"/>
  <c r="AB104" i="1"/>
  <c r="AB108" i="1"/>
  <c r="AB112" i="1"/>
  <c r="AB116" i="1"/>
  <c r="AB120" i="1"/>
  <c r="AB124" i="1"/>
  <c r="AB128" i="1"/>
  <c r="AB132" i="1"/>
  <c r="AB136" i="1"/>
  <c r="AB140" i="1"/>
  <c r="AB144" i="1"/>
  <c r="AB148" i="1"/>
  <c r="AB152" i="1"/>
  <c r="AB156" i="1"/>
  <c r="AB160" i="1"/>
  <c r="AB164" i="1"/>
  <c r="AB168" i="1"/>
  <c r="AB172" i="1"/>
  <c r="AB176" i="1"/>
  <c r="AB180" i="1"/>
  <c r="AB184" i="1"/>
  <c r="AB188" i="1"/>
  <c r="AB192" i="1"/>
  <c r="AB196" i="1"/>
  <c r="AB200" i="1"/>
  <c r="AB5" i="1"/>
  <c r="AB9" i="1"/>
  <c r="AB13" i="1"/>
  <c r="AB17" i="1"/>
  <c r="AB25" i="1"/>
  <c r="AB29" i="1"/>
  <c r="AB33" i="1"/>
  <c r="AB37" i="1"/>
  <c r="AB41" i="1"/>
  <c r="AB45" i="1"/>
  <c r="AB49" i="1"/>
  <c r="AB53" i="1"/>
  <c r="AB61" i="1"/>
  <c r="AB69" i="1"/>
  <c r="AB73" i="1"/>
  <c r="AB81" i="1"/>
  <c r="AB89" i="1"/>
  <c r="AB97" i="1"/>
  <c r="AB105" i="1"/>
  <c r="AB113" i="1"/>
  <c r="AB121" i="1"/>
  <c r="AB129" i="1"/>
  <c r="AB137" i="1"/>
  <c r="AB145" i="1"/>
  <c r="AB153" i="1"/>
  <c r="AB161" i="1"/>
  <c r="AB169" i="1"/>
  <c r="AB177" i="1"/>
  <c r="AB185" i="1"/>
  <c r="AB193" i="1"/>
  <c r="AB201" i="1"/>
  <c r="AB10" i="1"/>
  <c r="AB14" i="1"/>
  <c r="AB22" i="1"/>
  <c r="AB30" i="1"/>
  <c r="AB58" i="1"/>
  <c r="AB186" i="1"/>
  <c r="AB46" i="1"/>
  <c r="AB62" i="1"/>
  <c r="AB78" i="1"/>
  <c r="AB94" i="1"/>
  <c r="AB110" i="1"/>
  <c r="AB126" i="1"/>
  <c r="AB142" i="1"/>
  <c r="AB158" i="1"/>
  <c r="AB174" i="1"/>
  <c r="AB190" i="1"/>
  <c r="AB50" i="1"/>
  <c r="AB66" i="1"/>
  <c r="AB82" i="1"/>
  <c r="AB98" i="1"/>
  <c r="AB114" i="1"/>
  <c r="AB130" i="1"/>
  <c r="AB146" i="1"/>
  <c r="AB162" i="1"/>
  <c r="AB178" i="1"/>
  <c r="AB194" i="1"/>
  <c r="AB54" i="1"/>
  <c r="AB70" i="1"/>
  <c r="AB86" i="1"/>
  <c r="AB102" i="1"/>
  <c r="AB118" i="1"/>
  <c r="AB134" i="1"/>
  <c r="AB150" i="1"/>
  <c r="AB166" i="1"/>
  <c r="AB182" i="1"/>
  <c r="AB198" i="1"/>
  <c r="AB42" i="1"/>
  <c r="AB74" i="1"/>
  <c r="AB90" i="1"/>
  <c r="AB106" i="1"/>
  <c r="AB122" i="1"/>
  <c r="AB138" i="1"/>
  <c r="AB154" i="1"/>
  <c r="AB170" i="1"/>
  <c r="AB202" i="1"/>
  <c r="G8" i="1"/>
  <c r="G10" i="1"/>
  <c r="W2" i="1" s="1"/>
  <c r="T9" i="1"/>
  <c r="B17" i="1"/>
  <c r="B24" i="1" l="1"/>
  <c r="B19" i="1"/>
  <c r="G14" i="1"/>
  <c r="AC2" i="1"/>
  <c r="T1" i="1"/>
  <c r="G11" i="1"/>
  <c r="B20" i="1"/>
  <c r="AD5" i="1" l="1"/>
  <c r="AD9" i="1"/>
  <c r="AD13" i="1"/>
  <c r="AD17" i="1"/>
  <c r="AD21" i="1"/>
  <c r="AD25" i="1"/>
  <c r="AD29" i="1"/>
  <c r="AD33" i="1"/>
  <c r="AD37" i="1"/>
  <c r="AD41" i="1"/>
  <c r="AD45" i="1"/>
  <c r="AD49" i="1"/>
  <c r="AD53" i="1"/>
  <c r="AD57" i="1"/>
  <c r="AD61" i="1"/>
  <c r="AD65" i="1"/>
  <c r="AD69" i="1"/>
  <c r="AD73" i="1"/>
  <c r="AD77" i="1"/>
  <c r="AD81" i="1"/>
  <c r="AD85" i="1"/>
  <c r="AD89" i="1"/>
  <c r="AD93" i="1"/>
  <c r="AD97" i="1"/>
  <c r="AD101" i="1"/>
  <c r="AD105" i="1"/>
  <c r="AD109" i="1"/>
  <c r="AD113" i="1"/>
  <c r="AD6" i="1"/>
  <c r="AD10" i="1"/>
  <c r="AD14" i="1"/>
  <c r="AD18" i="1"/>
  <c r="AD22" i="1"/>
  <c r="AD26" i="1"/>
  <c r="AD30" i="1"/>
  <c r="AD34" i="1"/>
  <c r="AD38" i="1"/>
  <c r="AD42" i="1"/>
  <c r="AD46" i="1"/>
  <c r="AD50" i="1"/>
  <c r="AD54" i="1"/>
  <c r="AD58" i="1"/>
  <c r="AD62" i="1"/>
  <c r="AD66" i="1"/>
  <c r="W7" i="1"/>
  <c r="AD4" i="1"/>
  <c r="AD8" i="1"/>
  <c r="AD12" i="1"/>
  <c r="AD16" i="1"/>
  <c r="AD20" i="1"/>
  <c r="AD24" i="1"/>
  <c r="AD28" i="1"/>
  <c r="AD32" i="1"/>
  <c r="AD36" i="1"/>
  <c r="AD40" i="1"/>
  <c r="AD44" i="1"/>
  <c r="AD48" i="1"/>
  <c r="AD52" i="1"/>
  <c r="AD56" i="1"/>
  <c r="AD60" i="1"/>
  <c r="AD64" i="1"/>
  <c r="AD3" i="1"/>
  <c r="AD19" i="1"/>
  <c r="AD35" i="1"/>
  <c r="AD51" i="1"/>
  <c r="AD67" i="1"/>
  <c r="AD72" i="1"/>
  <c r="AD78" i="1"/>
  <c r="AD83" i="1"/>
  <c r="AD88" i="1"/>
  <c r="AD94" i="1"/>
  <c r="AD99" i="1"/>
  <c r="AD104" i="1"/>
  <c r="AD110" i="1"/>
  <c r="AD115" i="1"/>
  <c r="AD119" i="1"/>
  <c r="AD123" i="1"/>
  <c r="AD127" i="1"/>
  <c r="AD131" i="1"/>
  <c r="AD135" i="1"/>
  <c r="AD139" i="1"/>
  <c r="AD143" i="1"/>
  <c r="AD147" i="1"/>
  <c r="AD151" i="1"/>
  <c r="AD155" i="1"/>
  <c r="AD159" i="1"/>
  <c r="AD163" i="1"/>
  <c r="AD167" i="1"/>
  <c r="AD171" i="1"/>
  <c r="AD175" i="1"/>
  <c r="AD179" i="1"/>
  <c r="AD183" i="1"/>
  <c r="AD187" i="1"/>
  <c r="AD191" i="1"/>
  <c r="AD195" i="1"/>
  <c r="AD199" i="1"/>
  <c r="AD2" i="1"/>
  <c r="AD7" i="1"/>
  <c r="AD23" i="1"/>
  <c r="AD39" i="1"/>
  <c r="AD55" i="1"/>
  <c r="AD68" i="1"/>
  <c r="AD74" i="1"/>
  <c r="AD79" i="1"/>
  <c r="AD84" i="1"/>
  <c r="AD90" i="1"/>
  <c r="AD95" i="1"/>
  <c r="AD100" i="1"/>
  <c r="AD106" i="1"/>
  <c r="AD111" i="1"/>
  <c r="AD116" i="1"/>
  <c r="AD120" i="1"/>
  <c r="AD124" i="1"/>
  <c r="AD128" i="1"/>
  <c r="AD132" i="1"/>
  <c r="AD136" i="1"/>
  <c r="AD140" i="1"/>
  <c r="AD144" i="1"/>
  <c r="AD148" i="1"/>
  <c r="AD152" i="1"/>
  <c r="AD156" i="1"/>
  <c r="AD160" i="1"/>
  <c r="AD164" i="1"/>
  <c r="AD168" i="1"/>
  <c r="AD172" i="1"/>
  <c r="AD176" i="1"/>
  <c r="AD180" i="1"/>
  <c r="AD184" i="1"/>
  <c r="AD188" i="1"/>
  <c r="AD192" i="1"/>
  <c r="AD196" i="1"/>
  <c r="AD200" i="1"/>
  <c r="AD15" i="1"/>
  <c r="AD31" i="1"/>
  <c r="AD47" i="1"/>
  <c r="AD63" i="1"/>
  <c r="AD71" i="1"/>
  <c r="AD76" i="1"/>
  <c r="AD82" i="1"/>
  <c r="AD87" i="1"/>
  <c r="AD92" i="1"/>
  <c r="AD98" i="1"/>
  <c r="AD103" i="1"/>
  <c r="AD108" i="1"/>
  <c r="AD114" i="1"/>
  <c r="AD118" i="1"/>
  <c r="AD122" i="1"/>
  <c r="AD126" i="1"/>
  <c r="AD130" i="1"/>
  <c r="AD134" i="1"/>
  <c r="AD138" i="1"/>
  <c r="AD142" i="1"/>
  <c r="AD146" i="1"/>
  <c r="AD150" i="1"/>
  <c r="AD154" i="1"/>
  <c r="AD158" i="1"/>
  <c r="AD162" i="1"/>
  <c r="AD166" i="1"/>
  <c r="AD170" i="1"/>
  <c r="AD174" i="1"/>
  <c r="AD178" i="1"/>
  <c r="AD182" i="1"/>
  <c r="AD186" i="1"/>
  <c r="AD190" i="1"/>
  <c r="AD194" i="1"/>
  <c r="AD198" i="1"/>
  <c r="AD202" i="1"/>
  <c r="AD43" i="1"/>
  <c r="AD80" i="1"/>
  <c r="AD102" i="1"/>
  <c r="AD121" i="1"/>
  <c r="AD137" i="1"/>
  <c r="AD153" i="1"/>
  <c r="AD169" i="1"/>
  <c r="AD185" i="1"/>
  <c r="AD201" i="1"/>
  <c r="AD149" i="1"/>
  <c r="AD59" i="1"/>
  <c r="AD86" i="1"/>
  <c r="AD107" i="1"/>
  <c r="AD125" i="1"/>
  <c r="AD141" i="1"/>
  <c r="AD157" i="1"/>
  <c r="AD173" i="1"/>
  <c r="AD189" i="1"/>
  <c r="AD133" i="1"/>
  <c r="AD11" i="1"/>
  <c r="AD70" i="1"/>
  <c r="AD91" i="1"/>
  <c r="AD112" i="1"/>
  <c r="AD129" i="1"/>
  <c r="AD145" i="1"/>
  <c r="AD161" i="1"/>
  <c r="AD177" i="1"/>
  <c r="AD193" i="1"/>
  <c r="AD27" i="1"/>
  <c r="AD75" i="1"/>
  <c r="AD96" i="1"/>
  <c r="AD117" i="1"/>
  <c r="AD165" i="1"/>
  <c r="AD181" i="1"/>
  <c r="AD197" i="1"/>
  <c r="AE5" i="1"/>
  <c r="AE9" i="1"/>
  <c r="AE13" i="1"/>
  <c r="AE17" i="1"/>
  <c r="AE21" i="1"/>
  <c r="AE25" i="1"/>
  <c r="AE29" i="1"/>
  <c r="AE33" i="1"/>
  <c r="AE37" i="1"/>
  <c r="AE41" i="1"/>
  <c r="AE45" i="1"/>
  <c r="AE49" i="1"/>
  <c r="AE53" i="1"/>
  <c r="AE57" i="1"/>
  <c r="AE61" i="1"/>
  <c r="AE65" i="1"/>
  <c r="AE69" i="1"/>
  <c r="AE73" i="1"/>
  <c r="AE77" i="1"/>
  <c r="AE81" i="1"/>
  <c r="AE85" i="1"/>
  <c r="AE89" i="1"/>
  <c r="AE93" i="1"/>
  <c r="AE97" i="1"/>
  <c r="AE101" i="1"/>
  <c r="AE105" i="1"/>
  <c r="AE109" i="1"/>
  <c r="AE113" i="1"/>
  <c r="AE117" i="1"/>
  <c r="AE121" i="1"/>
  <c r="AE125" i="1"/>
  <c r="AE129" i="1"/>
  <c r="AE133" i="1"/>
  <c r="AE137" i="1"/>
  <c r="AE141" i="1"/>
  <c r="AE145" i="1"/>
  <c r="W3" i="1"/>
  <c r="AE3" i="1"/>
  <c r="AE8" i="1"/>
  <c r="AE14" i="1"/>
  <c r="AE19" i="1"/>
  <c r="AE24" i="1"/>
  <c r="AE30" i="1"/>
  <c r="AE35" i="1"/>
  <c r="AE40" i="1"/>
  <c r="AE46" i="1"/>
  <c r="AE51" i="1"/>
  <c r="AE56" i="1"/>
  <c r="AE62" i="1"/>
  <c r="AE67" i="1"/>
  <c r="AE72" i="1"/>
  <c r="AE78" i="1"/>
  <c r="AE83" i="1"/>
  <c r="AE88" i="1"/>
  <c r="AE94" i="1"/>
  <c r="AE99" i="1"/>
  <c r="AE104" i="1"/>
  <c r="AE110" i="1"/>
  <c r="AE115" i="1"/>
  <c r="AE120" i="1"/>
  <c r="AE126" i="1"/>
  <c r="AE131" i="1"/>
  <c r="AE136" i="1"/>
  <c r="AE142" i="1"/>
  <c r="AE147" i="1"/>
  <c r="AE151" i="1"/>
  <c r="AE155" i="1"/>
  <c r="AE159" i="1"/>
  <c r="AE163" i="1"/>
  <c r="AE167" i="1"/>
  <c r="AE171" i="1"/>
  <c r="AE175" i="1"/>
  <c r="AE179" i="1"/>
  <c r="AE183" i="1"/>
  <c r="AE187" i="1"/>
  <c r="AE191" i="1"/>
  <c r="AE195" i="1"/>
  <c r="AE199" i="1"/>
  <c r="AE2" i="1"/>
  <c r="AF2" i="1" s="1"/>
  <c r="AH2" i="1" s="1"/>
  <c r="AI2" i="1" s="1"/>
  <c r="AE4" i="1"/>
  <c r="AE10" i="1"/>
  <c r="AE15" i="1"/>
  <c r="AE20" i="1"/>
  <c r="AE26" i="1"/>
  <c r="AE31" i="1"/>
  <c r="AE36" i="1"/>
  <c r="AE42" i="1"/>
  <c r="AE47" i="1"/>
  <c r="AE52" i="1"/>
  <c r="AE58" i="1"/>
  <c r="AE63" i="1"/>
  <c r="AE68" i="1"/>
  <c r="AE74" i="1"/>
  <c r="AE79" i="1"/>
  <c r="AE84" i="1"/>
  <c r="AE90" i="1"/>
  <c r="AE95" i="1"/>
  <c r="AE100" i="1"/>
  <c r="AE106" i="1"/>
  <c r="AE111" i="1"/>
  <c r="AE116" i="1"/>
  <c r="AE122" i="1"/>
  <c r="AE127" i="1"/>
  <c r="AE132" i="1"/>
  <c r="AE138" i="1"/>
  <c r="AE143" i="1"/>
  <c r="AE148" i="1"/>
  <c r="AE152" i="1"/>
  <c r="AE156" i="1"/>
  <c r="AE160" i="1"/>
  <c r="AE164" i="1"/>
  <c r="AE168" i="1"/>
  <c r="AE172" i="1"/>
  <c r="AE176" i="1"/>
  <c r="AE180" i="1"/>
  <c r="AE184" i="1"/>
  <c r="AE188" i="1"/>
  <c r="AE192" i="1"/>
  <c r="AE196" i="1"/>
  <c r="AE200" i="1"/>
  <c r="AE7" i="1"/>
  <c r="AE12" i="1"/>
  <c r="AE18" i="1"/>
  <c r="AE23" i="1"/>
  <c r="AE28" i="1"/>
  <c r="AE34" i="1"/>
  <c r="AE39" i="1"/>
  <c r="AE44" i="1"/>
  <c r="AE50" i="1"/>
  <c r="AE55" i="1"/>
  <c r="AE60" i="1"/>
  <c r="AE66" i="1"/>
  <c r="AE71" i="1"/>
  <c r="AE76" i="1"/>
  <c r="AE82" i="1"/>
  <c r="AE87" i="1"/>
  <c r="AE92" i="1"/>
  <c r="AE98" i="1"/>
  <c r="AE103" i="1"/>
  <c r="AE108" i="1"/>
  <c r="AE114" i="1"/>
  <c r="AE119" i="1"/>
  <c r="AE124" i="1"/>
  <c r="AE130" i="1"/>
  <c r="AE135" i="1"/>
  <c r="AE140" i="1"/>
  <c r="AE146" i="1"/>
  <c r="AE150" i="1"/>
  <c r="AE154" i="1"/>
  <c r="AE158" i="1"/>
  <c r="AE162" i="1"/>
  <c r="AE166" i="1"/>
  <c r="AE170" i="1"/>
  <c r="AF170" i="1" s="1"/>
  <c r="AE174" i="1"/>
  <c r="AE178" i="1"/>
  <c r="AE182" i="1"/>
  <c r="AE186" i="1"/>
  <c r="AE190" i="1"/>
  <c r="AE194" i="1"/>
  <c r="AE198" i="1"/>
  <c r="AE202" i="1"/>
  <c r="AE16" i="1"/>
  <c r="AE38" i="1"/>
  <c r="AE59" i="1"/>
  <c r="AE80" i="1"/>
  <c r="AE102" i="1"/>
  <c r="AE123" i="1"/>
  <c r="AE144" i="1"/>
  <c r="AE161" i="1"/>
  <c r="AE177" i="1"/>
  <c r="AE193" i="1"/>
  <c r="AE22" i="1"/>
  <c r="AE43" i="1"/>
  <c r="AE64" i="1"/>
  <c r="AE86" i="1"/>
  <c r="AE107" i="1"/>
  <c r="AE128" i="1"/>
  <c r="AE149" i="1"/>
  <c r="AE165" i="1"/>
  <c r="AE181" i="1"/>
  <c r="AE197" i="1"/>
  <c r="AE11" i="1"/>
  <c r="AE32" i="1"/>
  <c r="AE54" i="1"/>
  <c r="AE75" i="1"/>
  <c r="AE96" i="1"/>
  <c r="AE118" i="1"/>
  <c r="AE139" i="1"/>
  <c r="AE157" i="1"/>
  <c r="AF157" i="1" s="1"/>
  <c r="AG157" i="1" s="1"/>
  <c r="AJ157" i="1" s="1"/>
  <c r="AE173" i="1"/>
  <c r="AE189" i="1"/>
  <c r="AE48" i="1"/>
  <c r="AE134" i="1"/>
  <c r="AE201" i="1"/>
  <c r="AE70" i="1"/>
  <c r="AE153" i="1"/>
  <c r="AE6" i="1"/>
  <c r="AE91" i="1"/>
  <c r="AE169" i="1"/>
  <c r="AE27" i="1"/>
  <c r="AE112" i="1"/>
  <c r="AE185" i="1"/>
  <c r="T2" i="1"/>
  <c r="T6" i="1"/>
  <c r="AF43" i="1" l="1"/>
  <c r="AH43" i="1" s="1"/>
  <c r="AI43" i="1" s="1"/>
  <c r="AF28" i="1"/>
  <c r="AH28" i="1" s="1"/>
  <c r="AI28" i="1" s="1"/>
  <c r="AF50" i="1"/>
  <c r="AG50" i="1" s="1"/>
  <c r="AJ50" i="1" s="1"/>
  <c r="AF5" i="1"/>
  <c r="AG5" i="1" s="1"/>
  <c r="AJ5" i="1" s="1"/>
  <c r="AF197" i="1"/>
  <c r="AH197" i="1" s="1"/>
  <c r="AI197" i="1" s="1"/>
  <c r="AF133" i="1"/>
  <c r="AG133" i="1" s="1"/>
  <c r="AJ133" i="1" s="1"/>
  <c r="AF31" i="1"/>
  <c r="AG31" i="1" s="1"/>
  <c r="AJ31" i="1" s="1"/>
  <c r="AH157" i="1"/>
  <c r="AI157" i="1" s="1"/>
  <c r="AF103" i="1"/>
  <c r="AG103" i="1" s="1"/>
  <c r="AJ103" i="1" s="1"/>
  <c r="AF94" i="1"/>
  <c r="AG94" i="1" s="1"/>
  <c r="AJ94" i="1" s="1"/>
  <c r="AF93" i="1"/>
  <c r="AH93" i="1" s="1"/>
  <c r="AI93" i="1" s="1"/>
  <c r="AF27" i="1"/>
  <c r="AG27" i="1" s="1"/>
  <c r="AJ27" i="1" s="1"/>
  <c r="AF87" i="1"/>
  <c r="AG87" i="1" s="1"/>
  <c r="AJ87" i="1" s="1"/>
  <c r="AF200" i="1"/>
  <c r="AG200" i="1" s="1"/>
  <c r="AJ200" i="1" s="1"/>
  <c r="AF184" i="1"/>
  <c r="AF120" i="1"/>
  <c r="AF100" i="1"/>
  <c r="AG100" i="1" s="1"/>
  <c r="AJ100" i="1" s="1"/>
  <c r="AF151" i="1"/>
  <c r="AG151" i="1" s="1"/>
  <c r="AJ151" i="1" s="1"/>
  <c r="AF99" i="1"/>
  <c r="AH99" i="1" s="1"/>
  <c r="AI99" i="1" s="1"/>
  <c r="AF44" i="1"/>
  <c r="AG44" i="1" s="1"/>
  <c r="AJ44" i="1" s="1"/>
  <c r="AF97" i="1"/>
  <c r="AH97" i="1" s="1"/>
  <c r="AI97" i="1" s="1"/>
  <c r="AF81" i="1"/>
  <c r="AG81" i="1" s="1"/>
  <c r="AJ81" i="1" s="1"/>
  <c r="AF33" i="1"/>
  <c r="AF17" i="1"/>
  <c r="AG17" i="1" s="1"/>
  <c r="AJ17" i="1" s="1"/>
  <c r="AF132" i="1"/>
  <c r="AH132" i="1" s="1"/>
  <c r="AI132" i="1" s="1"/>
  <c r="AF182" i="1"/>
  <c r="AH182" i="1" s="1"/>
  <c r="AI182" i="1" s="1"/>
  <c r="AF166" i="1"/>
  <c r="AH166" i="1" s="1"/>
  <c r="AI166" i="1" s="1"/>
  <c r="AF176" i="1"/>
  <c r="AG176" i="1" s="1"/>
  <c r="AJ176" i="1" s="1"/>
  <c r="AF68" i="1"/>
  <c r="AG68" i="1" s="1"/>
  <c r="AJ68" i="1" s="1"/>
  <c r="AF159" i="1"/>
  <c r="AH159" i="1" s="1"/>
  <c r="AI159" i="1" s="1"/>
  <c r="AF110" i="1"/>
  <c r="AH110" i="1" s="1"/>
  <c r="AI110" i="1" s="1"/>
  <c r="AF3" i="1"/>
  <c r="AF105" i="1"/>
  <c r="AG105" i="1" s="1"/>
  <c r="AJ105" i="1" s="1"/>
  <c r="AF89" i="1"/>
  <c r="AG89" i="1" s="1"/>
  <c r="AJ89" i="1" s="1"/>
  <c r="AF41" i="1"/>
  <c r="AG41" i="1" s="1"/>
  <c r="AJ41" i="1" s="1"/>
  <c r="AF25" i="1"/>
  <c r="AG25" i="1" s="1"/>
  <c r="AJ25" i="1" s="1"/>
  <c r="AF71" i="1"/>
  <c r="AH71" i="1" s="1"/>
  <c r="AI71" i="1" s="1"/>
  <c r="AH170" i="1"/>
  <c r="AI170" i="1" s="1"/>
  <c r="AG170" i="1"/>
  <c r="AJ170" i="1" s="1"/>
  <c r="AF165" i="1"/>
  <c r="AG165" i="1" s="1"/>
  <c r="AJ165" i="1" s="1"/>
  <c r="AF186" i="1"/>
  <c r="AF196" i="1"/>
  <c r="AF179" i="1"/>
  <c r="AF77" i="1"/>
  <c r="AF60" i="1"/>
  <c r="AG60" i="1" s="1"/>
  <c r="AJ60" i="1" s="1"/>
  <c r="AF18" i="1"/>
  <c r="AF112" i="1"/>
  <c r="AG112" i="1" s="1"/>
  <c r="AJ112" i="1" s="1"/>
  <c r="AF141" i="1"/>
  <c r="AF169" i="1"/>
  <c r="AG169" i="1" s="1"/>
  <c r="AJ169" i="1" s="1"/>
  <c r="AF118" i="1"/>
  <c r="AF52" i="1"/>
  <c r="AF42" i="1"/>
  <c r="AF10" i="1"/>
  <c r="AF119" i="1"/>
  <c r="AG119" i="1" s="1"/>
  <c r="AJ119" i="1" s="1"/>
  <c r="AF34" i="1"/>
  <c r="AH34" i="1" s="1"/>
  <c r="AI34" i="1" s="1"/>
  <c r="AF12" i="1"/>
  <c r="AH12" i="1" s="1"/>
  <c r="AI12" i="1" s="1"/>
  <c r="AF58" i="1"/>
  <c r="AH58" i="1" s="1"/>
  <c r="AI58" i="1" s="1"/>
  <c r="AF9" i="1"/>
  <c r="AG9" i="1" s="1"/>
  <c r="AJ9" i="1" s="1"/>
  <c r="AF75" i="1"/>
  <c r="AF161" i="1"/>
  <c r="AF91" i="1"/>
  <c r="AH91" i="1" s="1"/>
  <c r="AI91" i="1" s="1"/>
  <c r="AF189" i="1"/>
  <c r="AF125" i="1"/>
  <c r="AF149" i="1"/>
  <c r="AG149" i="1" s="1"/>
  <c r="AJ149" i="1" s="1"/>
  <c r="AF80" i="1"/>
  <c r="AG80" i="1" s="1"/>
  <c r="AJ80" i="1" s="1"/>
  <c r="AF194" i="1"/>
  <c r="AF178" i="1"/>
  <c r="AF162" i="1"/>
  <c r="AF146" i="1"/>
  <c r="AF114" i="1"/>
  <c r="AF92" i="1"/>
  <c r="AF188" i="1"/>
  <c r="AF172" i="1"/>
  <c r="AF156" i="1"/>
  <c r="AF124" i="1"/>
  <c r="AF106" i="1"/>
  <c r="AF84" i="1"/>
  <c r="AF187" i="1"/>
  <c r="AF171" i="1"/>
  <c r="AF155" i="1"/>
  <c r="AF123" i="1"/>
  <c r="AF104" i="1"/>
  <c r="AF83" i="1"/>
  <c r="AF51" i="1"/>
  <c r="AG51" i="1" s="1"/>
  <c r="AJ51" i="1" s="1"/>
  <c r="AF64" i="1"/>
  <c r="AH64" i="1" s="1"/>
  <c r="AI64" i="1" s="1"/>
  <c r="AF32" i="1"/>
  <c r="AF54" i="1"/>
  <c r="AH54" i="1" s="1"/>
  <c r="AI54" i="1" s="1"/>
  <c r="AF38" i="1"/>
  <c r="AG38" i="1" s="1"/>
  <c r="AJ38" i="1" s="1"/>
  <c r="AF6" i="1"/>
  <c r="AF101" i="1"/>
  <c r="AF85" i="1"/>
  <c r="AF69" i="1"/>
  <c r="AF53" i="1"/>
  <c r="AF37" i="1"/>
  <c r="AF21" i="1"/>
  <c r="AF107" i="1"/>
  <c r="AG107" i="1" s="1"/>
  <c r="AJ107" i="1" s="1"/>
  <c r="AF144" i="1"/>
  <c r="AH144" i="1" s="1"/>
  <c r="AI144" i="1" s="1"/>
  <c r="AF111" i="1"/>
  <c r="AH111" i="1" s="1"/>
  <c r="AI111" i="1" s="1"/>
  <c r="AF191" i="1"/>
  <c r="AH191" i="1" s="1"/>
  <c r="AI191" i="1" s="1"/>
  <c r="AF35" i="1"/>
  <c r="AG35" i="1" s="1"/>
  <c r="AJ35" i="1" s="1"/>
  <c r="AF117" i="1"/>
  <c r="AF193" i="1"/>
  <c r="AF86" i="1"/>
  <c r="AF185" i="1"/>
  <c r="AH185" i="1" s="1"/>
  <c r="AI185" i="1" s="1"/>
  <c r="AF202" i="1"/>
  <c r="AF154" i="1"/>
  <c r="AF138" i="1"/>
  <c r="AF82" i="1"/>
  <c r="AF180" i="1"/>
  <c r="AF164" i="1"/>
  <c r="AF148" i="1"/>
  <c r="AF116" i="1"/>
  <c r="AF95" i="1"/>
  <c r="AG95" i="1" s="1"/>
  <c r="AJ95" i="1" s="1"/>
  <c r="AF74" i="1"/>
  <c r="AF195" i="1"/>
  <c r="AF163" i="1"/>
  <c r="AF147" i="1"/>
  <c r="AF115" i="1"/>
  <c r="AF72" i="1"/>
  <c r="AF19" i="1"/>
  <c r="AF40" i="1"/>
  <c r="AF8" i="1"/>
  <c r="AF62" i="1"/>
  <c r="AF30" i="1"/>
  <c r="AF109" i="1"/>
  <c r="AG109" i="1" s="1"/>
  <c r="AJ109" i="1" s="1"/>
  <c r="AF61" i="1"/>
  <c r="AF45" i="1"/>
  <c r="AF29" i="1"/>
  <c r="AF13" i="1"/>
  <c r="AH103" i="1"/>
  <c r="AI103" i="1" s="1"/>
  <c r="AF96" i="1"/>
  <c r="AF102" i="1"/>
  <c r="AF181" i="1"/>
  <c r="AF153" i="1"/>
  <c r="AF130" i="1"/>
  <c r="AF15" i="1"/>
  <c r="AF140" i="1"/>
  <c r="AF55" i="1"/>
  <c r="AF139" i="1"/>
  <c r="AF48" i="1"/>
  <c r="AF16" i="1"/>
  <c r="AF22" i="1"/>
  <c r="AG197" i="1"/>
  <c r="AJ197" i="1" s="1"/>
  <c r="AF173" i="1"/>
  <c r="AF174" i="1"/>
  <c r="AF158" i="1"/>
  <c r="AG43" i="1"/>
  <c r="AJ43" i="1" s="1"/>
  <c r="AF129" i="1"/>
  <c r="AF11" i="1"/>
  <c r="AF121" i="1"/>
  <c r="AF122" i="1"/>
  <c r="AF47" i="1"/>
  <c r="AF23" i="1"/>
  <c r="AF131" i="1"/>
  <c r="AF56" i="1"/>
  <c r="AF24" i="1"/>
  <c r="AF46" i="1"/>
  <c r="AF14" i="1"/>
  <c r="AF177" i="1"/>
  <c r="AF59" i="1"/>
  <c r="AF198" i="1"/>
  <c r="AF150" i="1"/>
  <c r="AF134" i="1"/>
  <c r="AF98" i="1"/>
  <c r="AF76" i="1"/>
  <c r="AF192" i="1"/>
  <c r="AF160" i="1"/>
  <c r="AF128" i="1"/>
  <c r="AF90" i="1"/>
  <c r="AF7" i="1"/>
  <c r="AF175" i="1"/>
  <c r="AF143" i="1"/>
  <c r="AF127" i="1"/>
  <c r="AF88" i="1"/>
  <c r="AF67" i="1"/>
  <c r="AF36" i="1"/>
  <c r="AF20" i="1"/>
  <c r="AF4" i="1"/>
  <c r="AF26" i="1"/>
  <c r="AF73" i="1"/>
  <c r="AF57" i="1"/>
  <c r="AF145" i="1"/>
  <c r="AF70" i="1"/>
  <c r="AF201" i="1"/>
  <c r="AF137" i="1"/>
  <c r="AF190" i="1"/>
  <c r="AF142" i="1"/>
  <c r="AF126" i="1"/>
  <c r="AF108" i="1"/>
  <c r="AF63" i="1"/>
  <c r="AF168" i="1"/>
  <c r="AF152" i="1"/>
  <c r="AF136" i="1"/>
  <c r="AF79" i="1"/>
  <c r="AF39" i="1"/>
  <c r="AF199" i="1"/>
  <c r="AF183" i="1"/>
  <c r="AF167" i="1"/>
  <c r="AF135" i="1"/>
  <c r="AF78" i="1"/>
  <c r="AF66" i="1"/>
  <c r="AF113" i="1"/>
  <c r="AF65" i="1"/>
  <c r="AF49" i="1"/>
  <c r="AG2" i="1"/>
  <c r="AJ2" i="1" s="1"/>
  <c r="AG28" i="1" l="1"/>
  <c r="AJ28" i="1" s="1"/>
  <c r="AH5" i="1"/>
  <c r="AI5" i="1" s="1"/>
  <c r="AH50" i="1"/>
  <c r="AI50" i="1" s="1"/>
  <c r="AH149" i="1"/>
  <c r="AI149" i="1" s="1"/>
  <c r="AG97" i="1"/>
  <c r="AJ97" i="1" s="1"/>
  <c r="AH133" i="1"/>
  <c r="AI133" i="1" s="1"/>
  <c r="AH89" i="1"/>
  <c r="AI89" i="1" s="1"/>
  <c r="AG185" i="1"/>
  <c r="AJ185" i="1" s="1"/>
  <c r="AH68" i="1"/>
  <c r="AI68" i="1" s="1"/>
  <c r="AG71" i="1"/>
  <c r="AJ71" i="1" s="1"/>
  <c r="AH107" i="1"/>
  <c r="AI107" i="1" s="1"/>
  <c r="AH27" i="1"/>
  <c r="AI27" i="1" s="1"/>
  <c r="AH17" i="1"/>
  <c r="AI17" i="1" s="1"/>
  <c r="AH25" i="1"/>
  <c r="AI25" i="1" s="1"/>
  <c r="AH60" i="1"/>
  <c r="AI60" i="1" s="1"/>
  <c r="AH44" i="1"/>
  <c r="AI44" i="1" s="1"/>
  <c r="AH94" i="1"/>
  <c r="AI94" i="1" s="1"/>
  <c r="AG34" i="1"/>
  <c r="AJ34" i="1" s="1"/>
  <c r="AH80" i="1"/>
  <c r="AI80" i="1" s="1"/>
  <c r="AH200" i="1"/>
  <c r="AI200" i="1" s="1"/>
  <c r="AG54" i="1"/>
  <c r="AJ54" i="1" s="1"/>
  <c r="AH81" i="1"/>
  <c r="AI81" i="1" s="1"/>
  <c r="AG191" i="1"/>
  <c r="AJ191" i="1" s="1"/>
  <c r="AH151" i="1"/>
  <c r="AI151" i="1" s="1"/>
  <c r="AH31" i="1"/>
  <c r="AI31" i="1" s="1"/>
  <c r="AG182" i="1"/>
  <c r="AJ182" i="1" s="1"/>
  <c r="AG93" i="1"/>
  <c r="AJ93" i="1" s="1"/>
  <c r="AG159" i="1"/>
  <c r="AJ159" i="1" s="1"/>
  <c r="AH100" i="1"/>
  <c r="AI100" i="1" s="1"/>
  <c r="AH38" i="1"/>
  <c r="AI38" i="1" s="1"/>
  <c r="AG12" i="1"/>
  <c r="AJ12" i="1" s="1"/>
  <c r="AH105" i="1"/>
  <c r="AI105" i="1" s="1"/>
  <c r="AG110" i="1"/>
  <c r="AJ110" i="1" s="1"/>
  <c r="AG99" i="1"/>
  <c r="AJ99" i="1" s="1"/>
  <c r="AH35" i="1"/>
  <c r="AI35" i="1" s="1"/>
  <c r="AH51" i="1"/>
  <c r="AI51" i="1" s="1"/>
  <c r="AG132" i="1"/>
  <c r="AJ132" i="1" s="1"/>
  <c r="AG33" i="1"/>
  <c r="AJ33" i="1" s="1"/>
  <c r="AH33" i="1"/>
  <c r="AI33" i="1" s="1"/>
  <c r="AH184" i="1"/>
  <c r="AI184" i="1" s="1"/>
  <c r="AG184" i="1"/>
  <c r="AJ184" i="1" s="1"/>
  <c r="AH41" i="1"/>
  <c r="AI41" i="1" s="1"/>
  <c r="AG64" i="1"/>
  <c r="AJ64" i="1" s="1"/>
  <c r="AH169" i="1"/>
  <c r="AI169" i="1" s="1"/>
  <c r="AH176" i="1"/>
  <c r="AI176" i="1" s="1"/>
  <c r="AG58" i="1"/>
  <c r="AJ58" i="1" s="1"/>
  <c r="AH87" i="1"/>
  <c r="AI87" i="1" s="1"/>
  <c r="AG166" i="1"/>
  <c r="AJ166" i="1" s="1"/>
  <c r="AG3" i="1"/>
  <c r="AJ3" i="1" s="1"/>
  <c r="AH3" i="1"/>
  <c r="AI3" i="1" s="1"/>
  <c r="AG120" i="1"/>
  <c r="AJ120" i="1" s="1"/>
  <c r="AH120" i="1"/>
  <c r="AI120" i="1" s="1"/>
  <c r="AH95" i="1"/>
  <c r="AI95" i="1" s="1"/>
  <c r="AG91" i="1"/>
  <c r="AJ91" i="1" s="1"/>
  <c r="AH109" i="1"/>
  <c r="AI109" i="1" s="1"/>
  <c r="AG144" i="1"/>
  <c r="AJ144" i="1" s="1"/>
  <c r="AH61" i="1"/>
  <c r="AI61" i="1" s="1"/>
  <c r="AG61" i="1"/>
  <c r="AJ61" i="1" s="1"/>
  <c r="AH115" i="1"/>
  <c r="AI115" i="1" s="1"/>
  <c r="AG115" i="1"/>
  <c r="AJ115" i="1" s="1"/>
  <c r="AG164" i="1"/>
  <c r="AJ164" i="1" s="1"/>
  <c r="AH164" i="1"/>
  <c r="AI164" i="1" s="1"/>
  <c r="AH193" i="1"/>
  <c r="AI193" i="1" s="1"/>
  <c r="AG193" i="1"/>
  <c r="AJ193" i="1" s="1"/>
  <c r="AH37" i="1"/>
  <c r="AI37" i="1" s="1"/>
  <c r="AG37" i="1"/>
  <c r="AJ37" i="1" s="1"/>
  <c r="AH32" i="1"/>
  <c r="AI32" i="1" s="1"/>
  <c r="AG32" i="1"/>
  <c r="AJ32" i="1" s="1"/>
  <c r="AG187" i="1"/>
  <c r="AJ187" i="1" s="1"/>
  <c r="AH187" i="1"/>
  <c r="AI187" i="1" s="1"/>
  <c r="AG114" i="1"/>
  <c r="AJ114" i="1" s="1"/>
  <c r="AH114" i="1"/>
  <c r="AI114" i="1" s="1"/>
  <c r="AH189" i="1"/>
  <c r="AI189" i="1" s="1"/>
  <c r="AG189" i="1"/>
  <c r="AJ189" i="1" s="1"/>
  <c r="AG141" i="1"/>
  <c r="AJ141" i="1" s="1"/>
  <c r="AH141" i="1"/>
  <c r="AI141" i="1" s="1"/>
  <c r="AG179" i="1"/>
  <c r="AJ179" i="1" s="1"/>
  <c r="AH179" i="1"/>
  <c r="AI179" i="1" s="1"/>
  <c r="AG111" i="1"/>
  <c r="AJ111" i="1" s="1"/>
  <c r="AH9" i="1"/>
  <c r="AI9" i="1" s="1"/>
  <c r="AH147" i="1"/>
  <c r="AI147" i="1" s="1"/>
  <c r="AG147" i="1"/>
  <c r="AJ147" i="1" s="1"/>
  <c r="AG180" i="1"/>
  <c r="AJ180" i="1" s="1"/>
  <c r="AH180" i="1"/>
  <c r="AI180" i="1" s="1"/>
  <c r="AG117" i="1"/>
  <c r="AJ117" i="1" s="1"/>
  <c r="AH117" i="1"/>
  <c r="AI117" i="1" s="1"/>
  <c r="AH6" i="1"/>
  <c r="AI6" i="1" s="1"/>
  <c r="AG6" i="1"/>
  <c r="AJ6" i="1" s="1"/>
  <c r="AH123" i="1"/>
  <c r="AI123" i="1" s="1"/>
  <c r="AG123" i="1"/>
  <c r="AJ123" i="1" s="1"/>
  <c r="AG172" i="1"/>
  <c r="AJ172" i="1" s="1"/>
  <c r="AH172" i="1"/>
  <c r="AI172" i="1" s="1"/>
  <c r="AH18" i="1"/>
  <c r="AI18" i="1" s="1"/>
  <c r="AG18" i="1"/>
  <c r="AJ18" i="1" s="1"/>
  <c r="AH119" i="1"/>
  <c r="AI119" i="1" s="1"/>
  <c r="AH112" i="1"/>
  <c r="AI112" i="1" s="1"/>
  <c r="AG29" i="1"/>
  <c r="AJ29" i="1" s="1"/>
  <c r="AH29" i="1"/>
  <c r="AI29" i="1" s="1"/>
  <c r="AH30" i="1"/>
  <c r="AI30" i="1" s="1"/>
  <c r="AG30" i="1"/>
  <c r="AJ30" i="1" s="1"/>
  <c r="AH19" i="1"/>
  <c r="AI19" i="1" s="1"/>
  <c r="AG19" i="1"/>
  <c r="AJ19" i="1" s="1"/>
  <c r="AG163" i="1"/>
  <c r="AJ163" i="1" s="1"/>
  <c r="AH163" i="1"/>
  <c r="AI163" i="1" s="1"/>
  <c r="AG116" i="1"/>
  <c r="AJ116" i="1" s="1"/>
  <c r="AH116" i="1"/>
  <c r="AI116" i="1" s="1"/>
  <c r="AG82" i="1"/>
  <c r="AJ82" i="1" s="1"/>
  <c r="AH82" i="1"/>
  <c r="AI82" i="1" s="1"/>
  <c r="AH69" i="1"/>
  <c r="AI69" i="1" s="1"/>
  <c r="AG69" i="1"/>
  <c r="AJ69" i="1" s="1"/>
  <c r="AG155" i="1"/>
  <c r="AJ155" i="1" s="1"/>
  <c r="AH155" i="1"/>
  <c r="AI155" i="1" s="1"/>
  <c r="AH106" i="1"/>
  <c r="AI106" i="1" s="1"/>
  <c r="AG106" i="1"/>
  <c r="AJ106" i="1" s="1"/>
  <c r="AG188" i="1"/>
  <c r="AJ188" i="1" s="1"/>
  <c r="AH188" i="1"/>
  <c r="AI188" i="1" s="1"/>
  <c r="AH162" i="1"/>
  <c r="AI162" i="1" s="1"/>
  <c r="AG162" i="1"/>
  <c r="AJ162" i="1" s="1"/>
  <c r="AG161" i="1"/>
  <c r="AJ161" i="1" s="1"/>
  <c r="AH161" i="1"/>
  <c r="AI161" i="1" s="1"/>
  <c r="AG118" i="1"/>
  <c r="AJ118" i="1" s="1"/>
  <c r="AH118" i="1"/>
  <c r="AI118" i="1" s="1"/>
  <c r="AH8" i="1"/>
  <c r="AI8" i="1" s="1"/>
  <c r="AG8" i="1"/>
  <c r="AJ8" i="1" s="1"/>
  <c r="AH74" i="1"/>
  <c r="AI74" i="1" s="1"/>
  <c r="AG74" i="1"/>
  <c r="AJ74" i="1" s="1"/>
  <c r="AH154" i="1"/>
  <c r="AI154" i="1" s="1"/>
  <c r="AG154" i="1"/>
  <c r="AJ154" i="1" s="1"/>
  <c r="AG101" i="1"/>
  <c r="AJ101" i="1" s="1"/>
  <c r="AH101" i="1"/>
  <c r="AI101" i="1" s="1"/>
  <c r="AH104" i="1"/>
  <c r="AI104" i="1" s="1"/>
  <c r="AG104" i="1"/>
  <c r="AJ104" i="1" s="1"/>
  <c r="AG156" i="1"/>
  <c r="AJ156" i="1" s="1"/>
  <c r="AH156" i="1"/>
  <c r="AI156" i="1" s="1"/>
  <c r="AG194" i="1"/>
  <c r="AJ194" i="1" s="1"/>
  <c r="AH194" i="1"/>
  <c r="AI194" i="1" s="1"/>
  <c r="AG42" i="1"/>
  <c r="AJ42" i="1" s="1"/>
  <c r="AH42" i="1"/>
  <c r="AI42" i="1" s="1"/>
  <c r="AH186" i="1"/>
  <c r="AI186" i="1" s="1"/>
  <c r="AG186" i="1"/>
  <c r="AJ186" i="1" s="1"/>
  <c r="AH13" i="1"/>
  <c r="AI13" i="1" s="1"/>
  <c r="AG13" i="1"/>
  <c r="AJ13" i="1" s="1"/>
  <c r="AG40" i="1"/>
  <c r="AJ40" i="1" s="1"/>
  <c r="AH40" i="1"/>
  <c r="AI40" i="1" s="1"/>
  <c r="AG202" i="1"/>
  <c r="AJ202" i="1" s="1"/>
  <c r="AH202" i="1"/>
  <c r="AI202" i="1" s="1"/>
  <c r="AG53" i="1"/>
  <c r="AJ53" i="1" s="1"/>
  <c r="AH53" i="1"/>
  <c r="AI53" i="1" s="1"/>
  <c r="AH84" i="1"/>
  <c r="AI84" i="1" s="1"/>
  <c r="AG84" i="1"/>
  <c r="AJ84" i="1" s="1"/>
  <c r="AG146" i="1"/>
  <c r="AJ146" i="1" s="1"/>
  <c r="AH146" i="1"/>
  <c r="AI146" i="1" s="1"/>
  <c r="AH52" i="1"/>
  <c r="AI52" i="1" s="1"/>
  <c r="AG52" i="1"/>
  <c r="AJ52" i="1" s="1"/>
  <c r="AH165" i="1"/>
  <c r="AI165" i="1" s="1"/>
  <c r="AH45" i="1"/>
  <c r="AI45" i="1" s="1"/>
  <c r="AG45" i="1"/>
  <c r="AJ45" i="1" s="1"/>
  <c r="AH62" i="1"/>
  <c r="AI62" i="1" s="1"/>
  <c r="AG62" i="1"/>
  <c r="AJ62" i="1" s="1"/>
  <c r="AH72" i="1"/>
  <c r="AI72" i="1" s="1"/>
  <c r="AG72" i="1"/>
  <c r="AJ72" i="1" s="1"/>
  <c r="AH195" i="1"/>
  <c r="AI195" i="1" s="1"/>
  <c r="AG195" i="1"/>
  <c r="AJ195" i="1" s="1"/>
  <c r="AH148" i="1"/>
  <c r="AI148" i="1" s="1"/>
  <c r="AG148" i="1"/>
  <c r="AJ148" i="1" s="1"/>
  <c r="AH138" i="1"/>
  <c r="AI138" i="1" s="1"/>
  <c r="AG138" i="1"/>
  <c r="AJ138" i="1" s="1"/>
  <c r="AH86" i="1"/>
  <c r="AI86" i="1" s="1"/>
  <c r="AG86" i="1"/>
  <c r="AJ86" i="1" s="1"/>
  <c r="AH21" i="1"/>
  <c r="AI21" i="1" s="1"/>
  <c r="AG21" i="1"/>
  <c r="AJ21" i="1" s="1"/>
  <c r="AH85" i="1"/>
  <c r="AI85" i="1" s="1"/>
  <c r="AG85" i="1"/>
  <c r="AJ85" i="1" s="1"/>
  <c r="AH83" i="1"/>
  <c r="AI83" i="1" s="1"/>
  <c r="AG83" i="1"/>
  <c r="AJ83" i="1" s="1"/>
  <c r="AG171" i="1"/>
  <c r="AJ171" i="1" s="1"/>
  <c r="AH171" i="1"/>
  <c r="AI171" i="1" s="1"/>
  <c r="AG124" i="1"/>
  <c r="AJ124" i="1" s="1"/>
  <c r="AH124" i="1"/>
  <c r="AI124" i="1" s="1"/>
  <c r="AH92" i="1"/>
  <c r="AI92" i="1" s="1"/>
  <c r="AG92" i="1"/>
  <c r="AJ92" i="1" s="1"/>
  <c r="AG178" i="1"/>
  <c r="AJ178" i="1" s="1"/>
  <c r="AH178" i="1"/>
  <c r="AI178" i="1" s="1"/>
  <c r="AH125" i="1"/>
  <c r="AI125" i="1" s="1"/>
  <c r="AG125" i="1"/>
  <c r="AJ125" i="1" s="1"/>
  <c r="AG75" i="1"/>
  <c r="AJ75" i="1" s="1"/>
  <c r="AH75" i="1"/>
  <c r="AI75" i="1" s="1"/>
  <c r="AG10" i="1"/>
  <c r="AJ10" i="1" s="1"/>
  <c r="AH10" i="1"/>
  <c r="AI10" i="1" s="1"/>
  <c r="AG77" i="1"/>
  <c r="AJ77" i="1" s="1"/>
  <c r="AH77" i="1"/>
  <c r="AI77" i="1" s="1"/>
  <c r="AG196" i="1"/>
  <c r="AJ196" i="1" s="1"/>
  <c r="AH196" i="1"/>
  <c r="AI196" i="1" s="1"/>
  <c r="AH49" i="1"/>
  <c r="AI49" i="1" s="1"/>
  <c r="AG49" i="1"/>
  <c r="AJ49" i="1" s="1"/>
  <c r="AH199" i="1"/>
  <c r="AI199" i="1" s="1"/>
  <c r="AG199" i="1"/>
  <c r="AJ199" i="1" s="1"/>
  <c r="AG126" i="1"/>
  <c r="AJ126" i="1" s="1"/>
  <c r="AH126" i="1"/>
  <c r="AI126" i="1" s="1"/>
  <c r="AH73" i="1"/>
  <c r="AI73" i="1" s="1"/>
  <c r="AG73" i="1"/>
  <c r="AJ73" i="1" s="1"/>
  <c r="AG143" i="1"/>
  <c r="AJ143" i="1" s="1"/>
  <c r="AH143" i="1"/>
  <c r="AI143" i="1" s="1"/>
  <c r="AG98" i="1"/>
  <c r="AJ98" i="1" s="1"/>
  <c r="AH98" i="1"/>
  <c r="AI98" i="1" s="1"/>
  <c r="AG113" i="1"/>
  <c r="AJ113" i="1" s="1"/>
  <c r="AH113" i="1"/>
  <c r="AI113" i="1" s="1"/>
  <c r="AG167" i="1"/>
  <c r="AJ167" i="1" s="1"/>
  <c r="AH167" i="1"/>
  <c r="AI167" i="1" s="1"/>
  <c r="AG79" i="1"/>
  <c r="AJ79" i="1" s="1"/>
  <c r="AH79" i="1"/>
  <c r="AI79" i="1" s="1"/>
  <c r="AH63" i="1"/>
  <c r="AI63" i="1" s="1"/>
  <c r="AG63" i="1"/>
  <c r="AJ63" i="1" s="1"/>
  <c r="AH190" i="1"/>
  <c r="AI190" i="1" s="1"/>
  <c r="AG190" i="1"/>
  <c r="AJ190" i="1" s="1"/>
  <c r="AG145" i="1"/>
  <c r="AJ145" i="1" s="1"/>
  <c r="AH145" i="1"/>
  <c r="AI145" i="1" s="1"/>
  <c r="AG4" i="1"/>
  <c r="AJ4" i="1" s="1"/>
  <c r="AH4" i="1"/>
  <c r="AI4" i="1" s="1"/>
  <c r="AH88" i="1"/>
  <c r="AI88" i="1" s="1"/>
  <c r="AG88" i="1"/>
  <c r="AJ88" i="1" s="1"/>
  <c r="AG7" i="1"/>
  <c r="AJ7" i="1" s="1"/>
  <c r="AH7" i="1"/>
  <c r="AI7" i="1" s="1"/>
  <c r="AG192" i="1"/>
  <c r="AJ192" i="1" s="1"/>
  <c r="AH192" i="1"/>
  <c r="AI192" i="1" s="1"/>
  <c r="AH150" i="1"/>
  <c r="AI150" i="1" s="1"/>
  <c r="AG150" i="1"/>
  <c r="AJ150" i="1" s="1"/>
  <c r="AG14" i="1"/>
  <c r="AJ14" i="1" s="1"/>
  <c r="AH14" i="1"/>
  <c r="AI14" i="1" s="1"/>
  <c r="AH131" i="1"/>
  <c r="AI131" i="1" s="1"/>
  <c r="AG131" i="1"/>
  <c r="AJ131" i="1" s="1"/>
  <c r="AH121" i="1"/>
  <c r="AI121" i="1" s="1"/>
  <c r="AG121" i="1"/>
  <c r="AJ121" i="1" s="1"/>
  <c r="AG173" i="1"/>
  <c r="AJ173" i="1" s="1"/>
  <c r="AH173" i="1"/>
  <c r="AI173" i="1" s="1"/>
  <c r="AH22" i="1"/>
  <c r="AI22" i="1" s="1"/>
  <c r="AG22" i="1"/>
  <c r="AJ22" i="1" s="1"/>
  <c r="AH55" i="1"/>
  <c r="AI55" i="1" s="1"/>
  <c r="AG55" i="1"/>
  <c r="AJ55" i="1" s="1"/>
  <c r="AH153" i="1"/>
  <c r="AI153" i="1" s="1"/>
  <c r="AG153" i="1"/>
  <c r="AJ153" i="1" s="1"/>
  <c r="AH66" i="1"/>
  <c r="AI66" i="1" s="1"/>
  <c r="AG66" i="1"/>
  <c r="AJ66" i="1" s="1"/>
  <c r="AG183" i="1"/>
  <c r="B45" i="1" s="1"/>
  <c r="B46" i="1" s="1"/>
  <c r="D46" i="1" s="1"/>
  <c r="AH183" i="1"/>
  <c r="AI183" i="1" s="1"/>
  <c r="AH136" i="1"/>
  <c r="AI136" i="1" s="1"/>
  <c r="AG136" i="1"/>
  <c r="AJ136" i="1" s="1"/>
  <c r="AG108" i="1"/>
  <c r="AJ108" i="1" s="1"/>
  <c r="AH108" i="1"/>
  <c r="AI108" i="1" s="1"/>
  <c r="AG137" i="1"/>
  <c r="AJ137" i="1" s="1"/>
  <c r="AH137" i="1"/>
  <c r="AI137" i="1" s="1"/>
  <c r="AG57" i="1"/>
  <c r="AJ57" i="1" s="1"/>
  <c r="AH57" i="1"/>
  <c r="AI57" i="1" s="1"/>
  <c r="AG20" i="1"/>
  <c r="AJ20" i="1" s="1"/>
  <c r="AH20" i="1"/>
  <c r="AI20" i="1" s="1"/>
  <c r="AH127" i="1"/>
  <c r="AI127" i="1" s="1"/>
  <c r="AG127" i="1"/>
  <c r="AJ127" i="1" s="1"/>
  <c r="AG90" i="1"/>
  <c r="AJ90" i="1" s="1"/>
  <c r="AH90" i="1"/>
  <c r="AI90" i="1" s="1"/>
  <c r="AH76" i="1"/>
  <c r="AI76" i="1" s="1"/>
  <c r="AG76" i="1"/>
  <c r="AJ76" i="1" s="1"/>
  <c r="AG198" i="1"/>
  <c r="AJ198" i="1" s="1"/>
  <c r="AH198" i="1"/>
  <c r="AI198" i="1" s="1"/>
  <c r="AG46" i="1"/>
  <c r="AJ46" i="1" s="1"/>
  <c r="AH46" i="1"/>
  <c r="AI46" i="1" s="1"/>
  <c r="AH23" i="1"/>
  <c r="AI23" i="1" s="1"/>
  <c r="AG23" i="1"/>
  <c r="AJ23" i="1" s="1"/>
  <c r="AG11" i="1"/>
  <c r="AJ11" i="1" s="1"/>
  <c r="AH11" i="1"/>
  <c r="AI11" i="1" s="1"/>
  <c r="AG16" i="1"/>
  <c r="AJ16" i="1" s="1"/>
  <c r="AH16" i="1"/>
  <c r="AI16" i="1" s="1"/>
  <c r="AH140" i="1"/>
  <c r="AI140" i="1" s="1"/>
  <c r="AG140" i="1"/>
  <c r="AJ140" i="1" s="1"/>
  <c r="AH181" i="1"/>
  <c r="AI181" i="1" s="1"/>
  <c r="AG181" i="1"/>
  <c r="AJ181" i="1" s="1"/>
  <c r="AH78" i="1"/>
  <c r="AI78" i="1" s="1"/>
  <c r="AG78" i="1"/>
  <c r="AJ78" i="1" s="1"/>
  <c r="AG152" i="1"/>
  <c r="AJ152" i="1" s="1"/>
  <c r="AH152" i="1"/>
  <c r="AI152" i="1" s="1"/>
  <c r="AH201" i="1"/>
  <c r="AI201" i="1" s="1"/>
  <c r="AG201" i="1"/>
  <c r="AJ201" i="1" s="1"/>
  <c r="AH36" i="1"/>
  <c r="AI36" i="1" s="1"/>
  <c r="AG36" i="1"/>
  <c r="AJ36" i="1" s="1"/>
  <c r="AG128" i="1"/>
  <c r="AJ128" i="1" s="1"/>
  <c r="AH128" i="1"/>
  <c r="AI128" i="1" s="1"/>
  <c r="AH59" i="1"/>
  <c r="AI59" i="1" s="1"/>
  <c r="AG59" i="1"/>
  <c r="AJ59" i="1" s="1"/>
  <c r="AH47" i="1"/>
  <c r="AI47" i="1" s="1"/>
  <c r="AG47" i="1"/>
  <c r="AJ47" i="1" s="1"/>
  <c r="AH129" i="1"/>
  <c r="AI129" i="1" s="1"/>
  <c r="AG129" i="1"/>
  <c r="AJ129" i="1" s="1"/>
  <c r="AH158" i="1"/>
  <c r="AI158" i="1" s="1"/>
  <c r="AG158" i="1"/>
  <c r="AJ158" i="1" s="1"/>
  <c r="AG48" i="1"/>
  <c r="AJ48" i="1" s="1"/>
  <c r="AH48" i="1"/>
  <c r="AI48" i="1" s="1"/>
  <c r="AG15" i="1"/>
  <c r="AJ15" i="1" s="1"/>
  <c r="AH15" i="1"/>
  <c r="AI15" i="1" s="1"/>
  <c r="AH102" i="1"/>
  <c r="AI102" i="1" s="1"/>
  <c r="AG102" i="1"/>
  <c r="AJ102" i="1" s="1"/>
  <c r="AH65" i="1"/>
  <c r="AI65" i="1" s="1"/>
  <c r="AG65" i="1"/>
  <c r="AJ65" i="1" s="1"/>
  <c r="AG135" i="1"/>
  <c r="AJ135" i="1" s="1"/>
  <c r="AH135" i="1"/>
  <c r="AI135" i="1" s="1"/>
  <c r="AG39" i="1"/>
  <c r="AJ39" i="1" s="1"/>
  <c r="AH39" i="1"/>
  <c r="AI39" i="1" s="1"/>
  <c r="AH168" i="1"/>
  <c r="AI168" i="1" s="1"/>
  <c r="AG168" i="1"/>
  <c r="AJ168" i="1" s="1"/>
  <c r="AH142" i="1"/>
  <c r="AI142" i="1" s="1"/>
  <c r="AG142" i="1"/>
  <c r="AJ142" i="1" s="1"/>
  <c r="AH70" i="1"/>
  <c r="AI70" i="1" s="1"/>
  <c r="AG70" i="1"/>
  <c r="AJ70" i="1" s="1"/>
  <c r="AH26" i="1"/>
  <c r="AI26" i="1" s="1"/>
  <c r="AG26" i="1"/>
  <c r="AJ26" i="1" s="1"/>
  <c r="AH67" i="1"/>
  <c r="AI67" i="1" s="1"/>
  <c r="AG67" i="1"/>
  <c r="AJ67" i="1" s="1"/>
  <c r="AH175" i="1"/>
  <c r="AI175" i="1" s="1"/>
  <c r="AG175" i="1"/>
  <c r="AJ175" i="1" s="1"/>
  <c r="AH160" i="1"/>
  <c r="AI160" i="1" s="1"/>
  <c r="AG160" i="1"/>
  <c r="AJ160" i="1" s="1"/>
  <c r="AH134" i="1"/>
  <c r="AI134" i="1" s="1"/>
  <c r="AG134" i="1"/>
  <c r="AJ134" i="1" s="1"/>
  <c r="AH177" i="1"/>
  <c r="AI177" i="1" s="1"/>
  <c r="AG177" i="1"/>
  <c r="AJ177" i="1" s="1"/>
  <c r="AH56" i="1"/>
  <c r="AI56" i="1" s="1"/>
  <c r="AG56" i="1"/>
  <c r="AJ56" i="1" s="1"/>
  <c r="AH122" i="1"/>
  <c r="AI122" i="1" s="1"/>
  <c r="AG122" i="1"/>
  <c r="AJ122" i="1" s="1"/>
  <c r="AH174" i="1"/>
  <c r="AI174" i="1" s="1"/>
  <c r="AG174" i="1"/>
  <c r="AJ174" i="1" s="1"/>
  <c r="AH139" i="1"/>
  <c r="AI139" i="1" s="1"/>
  <c r="AG139" i="1"/>
  <c r="AJ139" i="1" s="1"/>
  <c r="AH130" i="1"/>
  <c r="AI130" i="1" s="1"/>
  <c r="AG130" i="1"/>
  <c r="AJ130" i="1" s="1"/>
  <c r="AH96" i="1"/>
  <c r="AI96" i="1" s="1"/>
  <c r="AG96" i="1"/>
  <c r="AJ96" i="1" s="1"/>
  <c r="AH24" i="1"/>
  <c r="AI24" i="1" s="1"/>
  <c r="AG24" i="1"/>
  <c r="AJ24" i="1" s="1"/>
  <c r="B48" i="1" l="1"/>
  <c r="D48" i="1" s="1"/>
  <c r="AJ183" i="1"/>
  <c r="B47" i="1" l="1"/>
  <c r="D47" i="1" s="1"/>
  <c r="G19" i="1"/>
  <c r="G18" i="1" l="1"/>
  <c r="G17" i="1" s="1"/>
  <c r="T23" i="1" s="1"/>
  <c r="AL2" i="1" s="1"/>
  <c r="G20" i="1"/>
  <c r="T22" i="1" s="1"/>
  <c r="T24" i="1"/>
  <c r="T25" i="1"/>
  <c r="G16" i="1"/>
  <c r="T21" i="1" s="1"/>
  <c r="AL177" i="1" l="1"/>
  <c r="AL155" i="1"/>
  <c r="AL9" i="1"/>
  <c r="AL109" i="1"/>
  <c r="AL110" i="1"/>
  <c r="AL78" i="1"/>
  <c r="AL4" i="1"/>
  <c r="AL129" i="1"/>
  <c r="AL5" i="1"/>
  <c r="AL61" i="1"/>
  <c r="AL47" i="1"/>
  <c r="AL160" i="1"/>
  <c r="AL14" i="1"/>
  <c r="AL57" i="1"/>
  <c r="AL132" i="1"/>
  <c r="AL46" i="1"/>
  <c r="AL187" i="1"/>
  <c r="AL102" i="1"/>
  <c r="AL97" i="1"/>
  <c r="AL130" i="1"/>
  <c r="AL143" i="1"/>
  <c r="AL16" i="1"/>
  <c r="AL77" i="1"/>
  <c r="AL131" i="1"/>
  <c r="AL191" i="1"/>
  <c r="AL133" i="1"/>
  <c r="AL170" i="1"/>
  <c r="AL141" i="1"/>
  <c r="AL67" i="1"/>
  <c r="AL140" i="1"/>
  <c r="AL44" i="1"/>
  <c r="AL36" i="1"/>
  <c r="AL60" i="1"/>
  <c r="AL171" i="1"/>
  <c r="AL70" i="1"/>
  <c r="AL124" i="1"/>
  <c r="AL19" i="1"/>
  <c r="AL101" i="1"/>
  <c r="AL192" i="1"/>
  <c r="AL71" i="1"/>
  <c r="AL166" i="1"/>
  <c r="AL108" i="1"/>
  <c r="AL182" i="1"/>
  <c r="AL100" i="1"/>
  <c r="AL198" i="1"/>
  <c r="AL136" i="1"/>
  <c r="AL121" i="1"/>
  <c r="AL144" i="1"/>
  <c r="AL8" i="1"/>
  <c r="AL64" i="1"/>
  <c r="AL68" i="1"/>
  <c r="AL123" i="1"/>
  <c r="AL99" i="1"/>
  <c r="AL74" i="1"/>
  <c r="AL13" i="1"/>
  <c r="AL146" i="1"/>
  <c r="AL12" i="1"/>
  <c r="AL50" i="1"/>
  <c r="AL83" i="1"/>
  <c r="AL85" i="1"/>
  <c r="AL94" i="1"/>
  <c r="AL185" i="1"/>
  <c r="AL95" i="1"/>
  <c r="AL117" i="1"/>
  <c r="AL28" i="1"/>
  <c r="AL75" i="1"/>
  <c r="AL178" i="1"/>
  <c r="AL154" i="1"/>
  <c r="AL20" i="1"/>
  <c r="AL51" i="1"/>
  <c r="AL112" i="1"/>
  <c r="AL194" i="1"/>
  <c r="AL52" i="1"/>
  <c r="AL120" i="1"/>
  <c r="AL186" i="1"/>
  <c r="AL179" i="1"/>
  <c r="AL164" i="1"/>
  <c r="AL21" i="1"/>
  <c r="AL49" i="1"/>
  <c r="AL119" i="1"/>
  <c r="AL39" i="1"/>
  <c r="AL62" i="1"/>
  <c r="AL150" i="1"/>
  <c r="AL165" i="1"/>
  <c r="AL169" i="1"/>
  <c r="AL31" i="1"/>
  <c r="AL73" i="1"/>
  <c r="AL195" i="1"/>
  <c r="AL202" i="1"/>
  <c r="AL91" i="1"/>
  <c r="AL153" i="1"/>
  <c r="AL34" i="1"/>
  <c r="AL156" i="1"/>
  <c r="AL11" i="1"/>
  <c r="AL41" i="1"/>
  <c r="AL114" i="1"/>
  <c r="AL135" i="1"/>
  <c r="AL176" i="1"/>
  <c r="AL172" i="1"/>
  <c r="AL42" i="1"/>
  <c r="AL32" i="1"/>
  <c r="AL81" i="1"/>
  <c r="AL76" i="1"/>
  <c r="AL200" i="1"/>
  <c r="AL148" i="1"/>
  <c r="AL54" i="1"/>
  <c r="AL196" i="1"/>
  <c r="AL149" i="1"/>
  <c r="AL167" i="1"/>
  <c r="AL199" i="1"/>
  <c r="AL82" i="1"/>
  <c r="AL151" i="1"/>
  <c r="AL188" i="1"/>
  <c r="AL55" i="1"/>
  <c r="AL125" i="1"/>
  <c r="AL162" i="1"/>
  <c r="AL72" i="1"/>
  <c r="AL115" i="1"/>
  <c r="AL90" i="1"/>
  <c r="AL201" i="1"/>
  <c r="AL80" i="1"/>
  <c r="AL93" i="1"/>
  <c r="AL189" i="1"/>
  <c r="AL122" i="1"/>
  <c r="AL17" i="1"/>
  <c r="AL197" i="1"/>
  <c r="AL128" i="1"/>
  <c r="AL15" i="1"/>
  <c r="AL3" i="1"/>
  <c r="AL152" i="1"/>
  <c r="AL87" i="1"/>
  <c r="AL137" i="1"/>
  <c r="AL159" i="1"/>
  <c r="AL29" i="1"/>
  <c r="AL127" i="1"/>
  <c r="AL107" i="1"/>
  <c r="AL10" i="1"/>
  <c r="AL105" i="1"/>
  <c r="AL6" i="1"/>
  <c r="AL183" i="1"/>
  <c r="AL98" i="1"/>
  <c r="AL113" i="1"/>
  <c r="AL65" i="1"/>
  <c r="AL134" i="1"/>
  <c r="AL43" i="1"/>
  <c r="AL25" i="1"/>
  <c r="AL142" i="1"/>
  <c r="AL180" i="1"/>
  <c r="AL163" i="1"/>
  <c r="AL24" i="1"/>
  <c r="AL23" i="1"/>
  <c r="AL84" i="1"/>
  <c r="AL158" i="1"/>
  <c r="AL56" i="1"/>
  <c r="AL86" i="1"/>
  <c r="AL173" i="1"/>
  <c r="AL193" i="1"/>
  <c r="AL79" i="1"/>
  <c r="AL118" i="1"/>
  <c r="AL7" i="1"/>
  <c r="AL58" i="1"/>
  <c r="AL181" i="1"/>
  <c r="AL35" i="1"/>
  <c r="AL96" i="1"/>
  <c r="AL22" i="1"/>
  <c r="AL53" i="1"/>
  <c r="AL147" i="1"/>
  <c r="AL37" i="1"/>
  <c r="AL26" i="1"/>
  <c r="AL30" i="1"/>
  <c r="AL145" i="1"/>
  <c r="AL111" i="1"/>
  <c r="AL45" i="1"/>
  <c r="AL48" i="1"/>
  <c r="AL168" i="1"/>
  <c r="AL106" i="1"/>
  <c r="AL59" i="1"/>
  <c r="AL174" i="1"/>
  <c r="AL126" i="1"/>
  <c r="AL38" i="1"/>
  <c r="AL27" i="1"/>
  <c r="AL66" i="1"/>
  <c r="AL104" i="1"/>
  <c r="AL18" i="1"/>
  <c r="AL33" i="1"/>
  <c r="AL138" i="1"/>
  <c r="AL103" i="1"/>
  <c r="AL89" i="1"/>
  <c r="AL92" i="1"/>
  <c r="AL175" i="1"/>
  <c r="AL40" i="1"/>
  <c r="AL88" i="1"/>
  <c r="AL116" i="1"/>
  <c r="AL161" i="1"/>
  <c r="AL190" i="1"/>
  <c r="AL63" i="1"/>
  <c r="AL157" i="1"/>
  <c r="AL184" i="1"/>
  <c r="AL139" i="1"/>
  <c r="AL69" i="1"/>
  <c r="AM3" i="1"/>
  <c r="AN3" i="1" s="1"/>
  <c r="AO3" i="1" s="1"/>
  <c r="AR3" i="1" s="1"/>
  <c r="AS3" i="1" s="1"/>
  <c r="AM118" i="1"/>
  <c r="AM98" i="1"/>
  <c r="AM41" i="1"/>
  <c r="AM143" i="1"/>
  <c r="AN143" i="1" s="1"/>
  <c r="AO143" i="1" s="1"/>
  <c r="AR143" i="1" s="1"/>
  <c r="AS143" i="1" s="1"/>
  <c r="AM58" i="1"/>
  <c r="AM24" i="1"/>
  <c r="AM113" i="1"/>
  <c r="AM181" i="1"/>
  <c r="AM147" i="1"/>
  <c r="AM173" i="1"/>
  <c r="AM200" i="1"/>
  <c r="AN200" i="1" s="1"/>
  <c r="AP200" i="1" s="1"/>
  <c r="AQ200" i="1" s="1"/>
  <c r="AT200" i="1" s="1"/>
  <c r="AM73" i="1"/>
  <c r="AM106" i="1"/>
  <c r="AM191" i="1"/>
  <c r="AM187" i="1"/>
  <c r="AM197" i="1"/>
  <c r="AM139" i="1"/>
  <c r="AM25" i="1"/>
  <c r="AM87" i="1"/>
  <c r="AM15" i="1"/>
  <c r="AM31" i="1"/>
  <c r="AN31" i="1" s="1"/>
  <c r="AP31" i="1" s="1"/>
  <c r="AQ31" i="1" s="1"/>
  <c r="AT31" i="1" s="1"/>
  <c r="AM126" i="1"/>
  <c r="AN126" i="1" s="1"/>
  <c r="AP126" i="1" s="1"/>
  <c r="AQ126" i="1" s="1"/>
  <c r="AT126" i="1" s="1"/>
  <c r="AM94" i="1"/>
  <c r="AM149" i="1"/>
  <c r="AM107" i="1"/>
  <c r="AM5" i="1"/>
  <c r="AN5" i="1" s="1"/>
  <c r="AP5" i="1" s="1"/>
  <c r="AQ5" i="1" s="1"/>
  <c r="AT5" i="1" s="1"/>
  <c r="AM104" i="1"/>
  <c r="AM186" i="1"/>
  <c r="AM179" i="1"/>
  <c r="AM18" i="1"/>
  <c r="AM55" i="1"/>
  <c r="AM109" i="1"/>
  <c r="AM101" i="1"/>
  <c r="AN101" i="1" s="1"/>
  <c r="AO101" i="1" s="1"/>
  <c r="AR101" i="1" s="1"/>
  <c r="AS101" i="1" s="1"/>
  <c r="AM148" i="1"/>
  <c r="AN148" i="1" s="1"/>
  <c r="AO148" i="1" s="1"/>
  <c r="AR148" i="1" s="1"/>
  <c r="AS148" i="1" s="1"/>
  <c r="AM172" i="1"/>
  <c r="AM81" i="1"/>
  <c r="AM127" i="1"/>
  <c r="AM132" i="1"/>
  <c r="AN132" i="1" s="1"/>
  <c r="AP132" i="1" s="1"/>
  <c r="AQ132" i="1" s="1"/>
  <c r="AT132" i="1" s="1"/>
  <c r="AM63" i="1"/>
  <c r="AN63" i="1" s="1"/>
  <c r="AP63" i="1" s="1"/>
  <c r="AQ63" i="1" s="1"/>
  <c r="AT63" i="1" s="1"/>
  <c r="AM177" i="1"/>
  <c r="AN177" i="1" s="1"/>
  <c r="AP177" i="1" s="1"/>
  <c r="AQ177" i="1" s="1"/>
  <c r="AT177" i="1" s="1"/>
  <c r="AM116" i="1"/>
  <c r="AM168" i="1"/>
  <c r="AN168" i="1" s="1"/>
  <c r="AP168" i="1" s="1"/>
  <c r="AQ168" i="1" s="1"/>
  <c r="AT168" i="1" s="1"/>
  <c r="AM152" i="1"/>
  <c r="AM201" i="1"/>
  <c r="AM110" i="1"/>
  <c r="AM65" i="1"/>
  <c r="AN65" i="1" s="1"/>
  <c r="AO65" i="1" s="1"/>
  <c r="AR65" i="1" s="1"/>
  <c r="AS65" i="1" s="1"/>
  <c r="AM133" i="1"/>
  <c r="AM193" i="1"/>
  <c r="AN193" i="1" s="1"/>
  <c r="AP193" i="1" s="1"/>
  <c r="AQ193" i="1" s="1"/>
  <c r="AT193" i="1" s="1"/>
  <c r="AM60" i="1"/>
  <c r="AM121" i="1"/>
  <c r="AN121" i="1" s="1"/>
  <c r="AO121" i="1" s="1"/>
  <c r="AR121" i="1" s="1"/>
  <c r="AS121" i="1" s="1"/>
  <c r="AM67" i="1"/>
  <c r="AM54" i="1"/>
  <c r="AM76" i="1"/>
  <c r="AM75" i="1"/>
  <c r="AM7" i="1"/>
  <c r="AN7" i="1" s="1"/>
  <c r="AO7" i="1" s="1"/>
  <c r="AR7" i="1" s="1"/>
  <c r="AS7" i="1" s="1"/>
  <c r="AM51" i="1"/>
  <c r="AM195" i="1"/>
  <c r="AM174" i="1"/>
  <c r="AM175" i="1"/>
  <c r="AM86" i="1"/>
  <c r="AM14" i="1"/>
  <c r="AM137" i="1"/>
  <c r="AM26" i="1"/>
  <c r="AM97" i="1"/>
  <c r="AM36" i="1"/>
  <c r="AM95" i="1"/>
  <c r="AN95" i="1" s="1"/>
  <c r="AP95" i="1" s="1"/>
  <c r="AQ95" i="1" s="1"/>
  <c r="AT95" i="1" s="1"/>
  <c r="AM11" i="1"/>
  <c r="AM62" i="1"/>
  <c r="AM153" i="1"/>
  <c r="AM48" i="1"/>
  <c r="AM42" i="1"/>
  <c r="AN42" i="1" s="1"/>
  <c r="AO42" i="1" s="1"/>
  <c r="AR42" i="1" s="1"/>
  <c r="AS42" i="1" s="1"/>
  <c r="AM140" i="1"/>
  <c r="AM27" i="1"/>
  <c r="AM125" i="1"/>
  <c r="AN125" i="1" s="1"/>
  <c r="AP125" i="1" s="1"/>
  <c r="AQ125" i="1" s="1"/>
  <c r="AT125" i="1" s="1"/>
  <c r="AM180" i="1"/>
  <c r="AN180" i="1" s="1"/>
  <c r="AO180" i="1" s="1"/>
  <c r="AR180" i="1" s="1"/>
  <c r="AS180" i="1" s="1"/>
  <c r="AM53" i="1"/>
  <c r="AM176" i="1"/>
  <c r="AN176" i="1" s="1"/>
  <c r="AP176" i="1" s="1"/>
  <c r="AQ176" i="1" s="1"/>
  <c r="AT176" i="1" s="1"/>
  <c r="AM50" i="1"/>
  <c r="AM49" i="1"/>
  <c r="AM150" i="1"/>
  <c r="AM146" i="1"/>
  <c r="AM39" i="1"/>
  <c r="AN39" i="1" s="1"/>
  <c r="AM79" i="1"/>
  <c r="AM198" i="1"/>
  <c r="AN198" i="1" s="1"/>
  <c r="AP198" i="1" s="1"/>
  <c r="AQ198" i="1" s="1"/>
  <c r="AT198" i="1" s="1"/>
  <c r="AM189" i="1"/>
  <c r="AM162" i="1"/>
  <c r="AM72" i="1"/>
  <c r="AM30" i="1"/>
  <c r="AM196" i="1"/>
  <c r="AM33" i="1"/>
  <c r="AN33" i="1" s="1"/>
  <c r="AP33" i="1" s="1"/>
  <c r="AQ33" i="1" s="1"/>
  <c r="AT33" i="1" s="1"/>
  <c r="AM102" i="1"/>
  <c r="AM142" i="1"/>
  <c r="AM145" i="1"/>
  <c r="AM34" i="1"/>
  <c r="AM96" i="1"/>
  <c r="AN96" i="1" s="1"/>
  <c r="AP96" i="1" s="1"/>
  <c r="AQ96" i="1" s="1"/>
  <c r="AT96" i="1" s="1"/>
  <c r="AM190" i="1"/>
  <c r="AM188" i="1"/>
  <c r="AM160" i="1"/>
  <c r="AM69" i="1"/>
  <c r="AN69" i="1" s="1"/>
  <c r="AP69" i="1" s="1"/>
  <c r="AQ69" i="1" s="1"/>
  <c r="AT69" i="1" s="1"/>
  <c r="AM89" i="1"/>
  <c r="AM170" i="1"/>
  <c r="AM52" i="1"/>
  <c r="AN52" i="1" s="1"/>
  <c r="AP52" i="1" s="1"/>
  <c r="AQ52" i="1" s="1"/>
  <c r="AT52" i="1" s="1"/>
  <c r="AM163" i="1"/>
  <c r="AM45" i="1"/>
  <c r="AN45" i="1" s="1"/>
  <c r="AO45" i="1" s="1"/>
  <c r="AR45" i="1" s="1"/>
  <c r="AS45" i="1" s="1"/>
  <c r="AM141" i="1"/>
  <c r="AM9" i="1"/>
  <c r="AN9" i="1" s="1"/>
  <c r="AO9" i="1" s="1"/>
  <c r="AR9" i="1" s="1"/>
  <c r="AS9" i="1" s="1"/>
  <c r="AM64" i="1"/>
  <c r="AM8" i="1"/>
  <c r="AN8" i="1" s="1"/>
  <c r="AM103" i="1"/>
  <c r="AM114" i="1"/>
  <c r="AM20" i="1"/>
  <c r="AM183" i="1"/>
  <c r="AM155" i="1"/>
  <c r="AM194" i="1"/>
  <c r="AM4" i="1"/>
  <c r="AM157" i="1"/>
  <c r="AN157" i="1" s="1"/>
  <c r="AM77" i="1"/>
  <c r="AM37" i="1"/>
  <c r="AM159" i="1"/>
  <c r="AM28" i="1"/>
  <c r="AN28" i="1" s="1"/>
  <c r="AM192" i="1"/>
  <c r="AM119" i="1"/>
  <c r="AM12" i="1"/>
  <c r="AM131" i="1"/>
  <c r="AM10" i="1"/>
  <c r="AM167" i="1"/>
  <c r="AN167" i="1" s="1"/>
  <c r="AO167" i="1" s="1"/>
  <c r="AR167" i="1" s="1"/>
  <c r="AS167" i="1" s="1"/>
  <c r="AM21" i="1"/>
  <c r="AM99" i="1"/>
  <c r="AN99" i="1" s="1"/>
  <c r="AO99" i="1" s="1"/>
  <c r="AR99" i="1" s="1"/>
  <c r="AS99" i="1" s="1"/>
  <c r="AM35" i="1"/>
  <c r="AM91" i="1"/>
  <c r="AM129" i="1"/>
  <c r="AN129" i="1" s="1"/>
  <c r="AP129" i="1" s="1"/>
  <c r="AQ129" i="1" s="1"/>
  <c r="AT129" i="1" s="1"/>
  <c r="AM161" i="1"/>
  <c r="AM13" i="1"/>
  <c r="AM184" i="1"/>
  <c r="AM124" i="1"/>
  <c r="AN124" i="1" s="1"/>
  <c r="AP124" i="1" s="1"/>
  <c r="AQ124" i="1" s="1"/>
  <c r="AT124" i="1" s="1"/>
  <c r="AM115" i="1"/>
  <c r="AM158" i="1"/>
  <c r="AM68" i="1"/>
  <c r="AN68" i="1" s="1"/>
  <c r="AP68" i="1" s="1"/>
  <c r="AQ68" i="1" s="1"/>
  <c r="AT68" i="1" s="1"/>
  <c r="AM169" i="1"/>
  <c r="AM92" i="1"/>
  <c r="AN92" i="1" s="1"/>
  <c r="AM74" i="1"/>
  <c r="AN74" i="1" s="1"/>
  <c r="AO74" i="1" s="1"/>
  <c r="AR74" i="1" s="1"/>
  <c r="AS74" i="1" s="1"/>
  <c r="AM182" i="1"/>
  <c r="AN182" i="1" s="1"/>
  <c r="AO182" i="1" s="1"/>
  <c r="AR182" i="1" s="1"/>
  <c r="AS182" i="1" s="1"/>
  <c r="AM123" i="1"/>
  <c r="AN123" i="1" s="1"/>
  <c r="AP123" i="1" s="1"/>
  <c r="AQ123" i="1" s="1"/>
  <c r="AT123" i="1" s="1"/>
  <c r="AM156" i="1"/>
  <c r="AN156" i="1" s="1"/>
  <c r="AM40" i="1"/>
  <c r="AM80" i="1"/>
  <c r="AN80" i="1" s="1"/>
  <c r="AM105" i="1"/>
  <c r="AM122" i="1"/>
  <c r="AM29" i="1"/>
  <c r="AN29" i="1" s="1"/>
  <c r="AP29" i="1" s="1"/>
  <c r="AQ29" i="1" s="1"/>
  <c r="AT29" i="1" s="1"/>
  <c r="AM90" i="1"/>
  <c r="AN90" i="1" s="1"/>
  <c r="AO90" i="1" s="1"/>
  <c r="AR90" i="1" s="1"/>
  <c r="AS90" i="1" s="1"/>
  <c r="AM85" i="1"/>
  <c r="AN85" i="1" s="1"/>
  <c r="AO85" i="1" s="1"/>
  <c r="AR85" i="1" s="1"/>
  <c r="AS85" i="1" s="1"/>
  <c r="AM57" i="1"/>
  <c r="AM84" i="1"/>
  <c r="AM154" i="1"/>
  <c r="AM171" i="1"/>
  <c r="AM144" i="1"/>
  <c r="AM2" i="1"/>
  <c r="AN2" i="1" s="1"/>
  <c r="AM199" i="1"/>
  <c r="AM202" i="1"/>
  <c r="AM130" i="1"/>
  <c r="AM22" i="1"/>
  <c r="AM117" i="1"/>
  <c r="AM100" i="1"/>
  <c r="AN100" i="1" s="1"/>
  <c r="AO100" i="1" s="1"/>
  <c r="AR100" i="1" s="1"/>
  <c r="AS100" i="1" s="1"/>
  <c r="AM23" i="1"/>
  <c r="AM78" i="1"/>
  <c r="AN78" i="1" s="1"/>
  <c r="AO78" i="1" s="1"/>
  <c r="AR78" i="1" s="1"/>
  <c r="AS78" i="1" s="1"/>
  <c r="AM178" i="1"/>
  <c r="AN178" i="1" s="1"/>
  <c r="AP178" i="1" s="1"/>
  <c r="AQ178" i="1" s="1"/>
  <c r="AT178" i="1" s="1"/>
  <c r="AM164" i="1"/>
  <c r="AM136" i="1"/>
  <c r="AM43" i="1"/>
  <c r="AM44" i="1"/>
  <c r="AN44" i="1" s="1"/>
  <c r="AM70" i="1"/>
  <c r="AM185" i="1"/>
  <c r="AM93" i="1"/>
  <c r="AN93" i="1" s="1"/>
  <c r="AO93" i="1" s="1"/>
  <c r="AR93" i="1" s="1"/>
  <c r="AS93" i="1" s="1"/>
  <c r="AM128" i="1"/>
  <c r="AN128" i="1" s="1"/>
  <c r="AO128" i="1" s="1"/>
  <c r="AR128" i="1" s="1"/>
  <c r="AS128" i="1" s="1"/>
  <c r="AM32" i="1"/>
  <c r="AM47" i="1"/>
  <c r="AM46" i="1"/>
  <c r="AM66" i="1"/>
  <c r="AM71" i="1"/>
  <c r="AN71" i="1" s="1"/>
  <c r="AO71" i="1" s="1"/>
  <c r="AR71" i="1" s="1"/>
  <c r="AS71" i="1" s="1"/>
  <c r="AM61" i="1"/>
  <c r="AM56" i="1"/>
  <c r="AN56" i="1" s="1"/>
  <c r="AO56" i="1" s="1"/>
  <c r="AR56" i="1" s="1"/>
  <c r="AS56" i="1" s="1"/>
  <c r="AM138" i="1"/>
  <c r="AM166" i="1"/>
  <c r="AM88" i="1"/>
  <c r="AM112" i="1"/>
  <c r="AM108" i="1"/>
  <c r="AM111" i="1"/>
  <c r="AN111" i="1" s="1"/>
  <c r="AP111" i="1" s="1"/>
  <c r="AQ111" i="1" s="1"/>
  <c r="AT111" i="1" s="1"/>
  <c r="AM6" i="1"/>
  <c r="AM16" i="1"/>
  <c r="AN16" i="1" s="1"/>
  <c r="AO16" i="1" s="1"/>
  <c r="AR16" i="1" s="1"/>
  <c r="AS16" i="1" s="1"/>
  <c r="AM135" i="1"/>
  <c r="AN135" i="1" s="1"/>
  <c r="AM59" i="1"/>
  <c r="AM120" i="1"/>
  <c r="AM17" i="1"/>
  <c r="AM83" i="1"/>
  <c r="AN83" i="1" s="1"/>
  <c r="AM151" i="1"/>
  <c r="AN151" i="1" s="1"/>
  <c r="AP151" i="1" s="1"/>
  <c r="AQ151" i="1" s="1"/>
  <c r="AT151" i="1" s="1"/>
  <c r="AM38" i="1"/>
  <c r="AM19" i="1"/>
  <c r="AM134" i="1"/>
  <c r="AM82" i="1"/>
  <c r="AM165" i="1"/>
  <c r="AN155" i="1"/>
  <c r="AO155" i="1" s="1"/>
  <c r="AR155" i="1" s="1"/>
  <c r="AS155" i="1" s="1"/>
  <c r="AN191" i="1" l="1"/>
  <c r="AO191" i="1" s="1"/>
  <c r="AR191" i="1" s="1"/>
  <c r="AS191" i="1" s="1"/>
  <c r="AN47" i="1"/>
  <c r="AO47" i="1" s="1"/>
  <c r="AR47" i="1" s="1"/>
  <c r="AS47" i="1" s="1"/>
  <c r="AN97" i="1"/>
  <c r="AP97" i="1" s="1"/>
  <c r="AQ97" i="1" s="1"/>
  <c r="AT97" i="1" s="1"/>
  <c r="AN109" i="1"/>
  <c r="AO109" i="1" s="1"/>
  <c r="AR109" i="1" s="1"/>
  <c r="AS109" i="1" s="1"/>
  <c r="AN46" i="1"/>
  <c r="AO46" i="1" s="1"/>
  <c r="AR46" i="1" s="1"/>
  <c r="AS46" i="1" s="1"/>
  <c r="AN141" i="1"/>
  <c r="AO141" i="1" s="1"/>
  <c r="AR141" i="1" s="1"/>
  <c r="AS141" i="1" s="1"/>
  <c r="AN36" i="1"/>
  <c r="AO36" i="1" s="1"/>
  <c r="AR36" i="1" s="1"/>
  <c r="AS36" i="1" s="1"/>
  <c r="AN82" i="1"/>
  <c r="AP82" i="1" s="1"/>
  <c r="AQ82" i="1" s="1"/>
  <c r="AT82" i="1" s="1"/>
  <c r="AN59" i="1"/>
  <c r="AP59" i="1" s="1"/>
  <c r="AQ59" i="1" s="1"/>
  <c r="AT59" i="1" s="1"/>
  <c r="AN166" i="1"/>
  <c r="AO166" i="1" s="1"/>
  <c r="AR166" i="1" s="1"/>
  <c r="AS166" i="1" s="1"/>
  <c r="AN32" i="1"/>
  <c r="AO32" i="1" s="1"/>
  <c r="AR32" i="1" s="1"/>
  <c r="AS32" i="1" s="1"/>
  <c r="AN70" i="1"/>
  <c r="AP70" i="1" s="1"/>
  <c r="AQ70" i="1" s="1"/>
  <c r="AT70" i="1" s="1"/>
  <c r="AN164" i="1"/>
  <c r="AP164" i="1" s="1"/>
  <c r="AQ164" i="1" s="1"/>
  <c r="AT164" i="1" s="1"/>
  <c r="AN202" i="1"/>
  <c r="AP202" i="1" s="1"/>
  <c r="AQ202" i="1" s="1"/>
  <c r="AT202" i="1" s="1"/>
  <c r="AN169" i="1"/>
  <c r="AO169" i="1" s="1"/>
  <c r="AR169" i="1" s="1"/>
  <c r="AS169" i="1" s="1"/>
  <c r="AN12" i="1"/>
  <c r="AO12" i="1" s="1"/>
  <c r="AR12" i="1" s="1"/>
  <c r="AS12" i="1" s="1"/>
  <c r="AN159" i="1"/>
  <c r="AO159" i="1" s="1"/>
  <c r="AR159" i="1" s="1"/>
  <c r="AS159" i="1" s="1"/>
  <c r="AN4" i="1"/>
  <c r="AP4" i="1" s="1"/>
  <c r="AQ4" i="1" s="1"/>
  <c r="AT4" i="1" s="1"/>
  <c r="AN20" i="1"/>
  <c r="AP20" i="1" s="1"/>
  <c r="AQ20" i="1" s="1"/>
  <c r="AT20" i="1" s="1"/>
  <c r="AN163" i="1"/>
  <c r="AP163" i="1" s="1"/>
  <c r="AQ163" i="1" s="1"/>
  <c r="AT163" i="1" s="1"/>
  <c r="AN72" i="1"/>
  <c r="AP72" i="1" s="1"/>
  <c r="AQ72" i="1" s="1"/>
  <c r="AT72" i="1" s="1"/>
  <c r="AN49" i="1"/>
  <c r="AP49" i="1" s="1"/>
  <c r="AQ49" i="1" s="1"/>
  <c r="AT49" i="1" s="1"/>
  <c r="AN26" i="1"/>
  <c r="AO26" i="1" s="1"/>
  <c r="AR26" i="1" s="1"/>
  <c r="AS26" i="1" s="1"/>
  <c r="AN67" i="1"/>
  <c r="AP67" i="1" s="1"/>
  <c r="AQ67" i="1" s="1"/>
  <c r="AT67" i="1" s="1"/>
  <c r="AN172" i="1"/>
  <c r="AO172" i="1" s="1"/>
  <c r="AR172" i="1" s="1"/>
  <c r="AS172" i="1" s="1"/>
  <c r="AN104" i="1"/>
  <c r="AO104" i="1" s="1"/>
  <c r="AR104" i="1" s="1"/>
  <c r="AS104" i="1" s="1"/>
  <c r="AN94" i="1"/>
  <c r="AO94" i="1" s="1"/>
  <c r="AR94" i="1" s="1"/>
  <c r="AS94" i="1" s="1"/>
  <c r="AN87" i="1"/>
  <c r="AO87" i="1" s="1"/>
  <c r="AR87" i="1" s="1"/>
  <c r="AS87" i="1" s="1"/>
  <c r="AN187" i="1"/>
  <c r="AP187" i="1" s="1"/>
  <c r="AQ187" i="1" s="1"/>
  <c r="AT187" i="1" s="1"/>
  <c r="AN41" i="1"/>
  <c r="AO41" i="1" s="1"/>
  <c r="AR41" i="1" s="1"/>
  <c r="AS41" i="1" s="1"/>
  <c r="AN19" i="1"/>
  <c r="AO19" i="1" s="1"/>
  <c r="AR19" i="1" s="1"/>
  <c r="AS19" i="1" s="1"/>
  <c r="AN17" i="1"/>
  <c r="AP17" i="1" s="1"/>
  <c r="AQ17" i="1" s="1"/>
  <c r="AT17" i="1" s="1"/>
  <c r="AN43" i="1"/>
  <c r="AP43" i="1" s="1"/>
  <c r="AQ43" i="1" s="1"/>
  <c r="AT43" i="1" s="1"/>
  <c r="AN22" i="1"/>
  <c r="AP22" i="1" s="1"/>
  <c r="AQ22" i="1" s="1"/>
  <c r="AT22" i="1" s="1"/>
  <c r="AN158" i="1"/>
  <c r="AO158" i="1" s="1"/>
  <c r="AR158" i="1" s="1"/>
  <c r="AS158" i="1" s="1"/>
  <c r="AN10" i="1"/>
  <c r="AO10" i="1" s="1"/>
  <c r="AR10" i="1" s="1"/>
  <c r="AS10" i="1" s="1"/>
  <c r="AN77" i="1"/>
  <c r="AO77" i="1" s="1"/>
  <c r="AR77" i="1" s="1"/>
  <c r="AS77" i="1" s="1"/>
  <c r="AN170" i="1"/>
  <c r="AP170" i="1" s="1"/>
  <c r="AQ170" i="1" s="1"/>
  <c r="AT170" i="1" s="1"/>
  <c r="AN188" i="1"/>
  <c r="AO188" i="1" s="1"/>
  <c r="AR188" i="1" s="1"/>
  <c r="AS188" i="1" s="1"/>
  <c r="AN27" i="1"/>
  <c r="AP27" i="1" s="1"/>
  <c r="AQ27" i="1" s="1"/>
  <c r="AT27" i="1" s="1"/>
  <c r="AN14" i="1"/>
  <c r="AO14" i="1" s="1"/>
  <c r="AR14" i="1" s="1"/>
  <c r="AS14" i="1" s="1"/>
  <c r="AN60" i="1"/>
  <c r="AP60" i="1" s="1"/>
  <c r="AQ60" i="1" s="1"/>
  <c r="AT60" i="1" s="1"/>
  <c r="AN110" i="1"/>
  <c r="AO110" i="1" s="1"/>
  <c r="AR110" i="1" s="1"/>
  <c r="AS110" i="1" s="1"/>
  <c r="AN116" i="1"/>
  <c r="AP116" i="1" s="1"/>
  <c r="AQ116" i="1" s="1"/>
  <c r="AT116" i="1" s="1"/>
  <c r="AN58" i="1"/>
  <c r="AO58" i="1" s="1"/>
  <c r="AR58" i="1" s="1"/>
  <c r="AS58" i="1" s="1"/>
  <c r="AN171" i="1"/>
  <c r="AO171" i="1" s="1"/>
  <c r="AR171" i="1" s="1"/>
  <c r="AS171" i="1" s="1"/>
  <c r="AN105" i="1"/>
  <c r="AP105" i="1" s="1"/>
  <c r="AQ105" i="1" s="1"/>
  <c r="AT105" i="1" s="1"/>
  <c r="AN21" i="1"/>
  <c r="AO21" i="1" s="1"/>
  <c r="AR21" i="1" s="1"/>
  <c r="AS21" i="1" s="1"/>
  <c r="AN64" i="1"/>
  <c r="AP64" i="1" s="1"/>
  <c r="AQ64" i="1" s="1"/>
  <c r="AT64" i="1" s="1"/>
  <c r="AN102" i="1"/>
  <c r="AP102" i="1" s="1"/>
  <c r="AQ102" i="1" s="1"/>
  <c r="AT102" i="1" s="1"/>
  <c r="AN79" i="1"/>
  <c r="AP79" i="1" s="1"/>
  <c r="AQ79" i="1" s="1"/>
  <c r="AT79" i="1" s="1"/>
  <c r="AN11" i="1"/>
  <c r="AO11" i="1" s="1"/>
  <c r="AR11" i="1" s="1"/>
  <c r="AS11" i="1" s="1"/>
  <c r="AN175" i="1"/>
  <c r="AP175" i="1" s="1"/>
  <c r="AQ175" i="1" s="1"/>
  <c r="AT175" i="1" s="1"/>
  <c r="AN133" i="1"/>
  <c r="AP133" i="1" s="1"/>
  <c r="AQ133" i="1" s="1"/>
  <c r="AT133" i="1" s="1"/>
  <c r="AN152" i="1"/>
  <c r="AO152" i="1" s="1"/>
  <c r="AR152" i="1" s="1"/>
  <c r="AS152" i="1" s="1"/>
  <c r="AN55" i="1"/>
  <c r="AO55" i="1" s="1"/>
  <c r="AR55" i="1" s="1"/>
  <c r="AS55" i="1" s="1"/>
  <c r="AN113" i="1"/>
  <c r="AO113" i="1" s="1"/>
  <c r="AR113" i="1" s="1"/>
  <c r="AS113" i="1" s="1"/>
  <c r="AN98" i="1"/>
  <c r="AO98" i="1" s="1"/>
  <c r="AR98" i="1" s="1"/>
  <c r="AS98" i="1" s="1"/>
  <c r="AN160" i="1"/>
  <c r="AO160" i="1" s="1"/>
  <c r="AR160" i="1" s="1"/>
  <c r="AS160" i="1" s="1"/>
  <c r="AN61" i="1"/>
  <c r="AP61" i="1" s="1"/>
  <c r="AQ61" i="1" s="1"/>
  <c r="AT61" i="1" s="1"/>
  <c r="AN130" i="1"/>
  <c r="AO130" i="1" s="1"/>
  <c r="AR130" i="1" s="1"/>
  <c r="AS130" i="1" s="1"/>
  <c r="AN57" i="1"/>
  <c r="AO57" i="1" s="1"/>
  <c r="AR57" i="1" s="1"/>
  <c r="AS57" i="1" s="1"/>
  <c r="AN131" i="1"/>
  <c r="AP131" i="1" s="1"/>
  <c r="AQ131" i="1" s="1"/>
  <c r="AT131" i="1" s="1"/>
  <c r="AN140" i="1"/>
  <c r="AO140" i="1" s="1"/>
  <c r="AR140" i="1" s="1"/>
  <c r="AS140" i="1" s="1"/>
  <c r="AN112" i="1"/>
  <c r="AO112" i="1" s="1"/>
  <c r="AR112" i="1" s="1"/>
  <c r="AS112" i="1" s="1"/>
  <c r="AN6" i="1"/>
  <c r="AP6" i="1" s="1"/>
  <c r="AQ6" i="1" s="1"/>
  <c r="AT6" i="1" s="1"/>
  <c r="AN23" i="1"/>
  <c r="AO23" i="1" s="1"/>
  <c r="AR23" i="1" s="1"/>
  <c r="AS23" i="1" s="1"/>
  <c r="AN190" i="1"/>
  <c r="AP190" i="1" s="1"/>
  <c r="AQ190" i="1" s="1"/>
  <c r="AT190" i="1" s="1"/>
  <c r="AN142" i="1"/>
  <c r="AO142" i="1" s="1"/>
  <c r="AR142" i="1" s="1"/>
  <c r="AS142" i="1" s="1"/>
  <c r="AN150" i="1"/>
  <c r="AO150" i="1" s="1"/>
  <c r="AR150" i="1" s="1"/>
  <c r="AS150" i="1" s="1"/>
  <c r="AN86" i="1"/>
  <c r="AP86" i="1" s="1"/>
  <c r="AQ86" i="1" s="1"/>
  <c r="AT86" i="1" s="1"/>
  <c r="AN186" i="1"/>
  <c r="AP186" i="1" s="1"/>
  <c r="AQ186" i="1" s="1"/>
  <c r="AT186" i="1" s="1"/>
  <c r="AN73" i="1"/>
  <c r="AP73" i="1" s="1"/>
  <c r="AQ73" i="1" s="1"/>
  <c r="AT73" i="1" s="1"/>
  <c r="AN84" i="1"/>
  <c r="AO84" i="1" s="1"/>
  <c r="AR84" i="1" s="1"/>
  <c r="AS84" i="1" s="1"/>
  <c r="AN40" i="1"/>
  <c r="AP40" i="1" s="1"/>
  <c r="AQ40" i="1" s="1"/>
  <c r="AT40" i="1" s="1"/>
  <c r="AN13" i="1"/>
  <c r="AO13" i="1" s="1"/>
  <c r="AR13" i="1" s="1"/>
  <c r="AS13" i="1" s="1"/>
  <c r="AN35" i="1"/>
  <c r="AO35" i="1" s="1"/>
  <c r="AR35" i="1" s="1"/>
  <c r="AS35" i="1" s="1"/>
  <c r="AN192" i="1"/>
  <c r="AP192" i="1" s="1"/>
  <c r="AQ192" i="1" s="1"/>
  <c r="AT192" i="1" s="1"/>
  <c r="AN103" i="1"/>
  <c r="AO103" i="1" s="1"/>
  <c r="AR103" i="1" s="1"/>
  <c r="AS103" i="1" s="1"/>
  <c r="AN145" i="1"/>
  <c r="AO145" i="1" s="1"/>
  <c r="AR145" i="1" s="1"/>
  <c r="AS145" i="1" s="1"/>
  <c r="AN196" i="1"/>
  <c r="AO196" i="1" s="1"/>
  <c r="AR196" i="1" s="1"/>
  <c r="AS196" i="1" s="1"/>
  <c r="AN189" i="1"/>
  <c r="AO189" i="1" s="1"/>
  <c r="AR189" i="1" s="1"/>
  <c r="AS189" i="1" s="1"/>
  <c r="AN146" i="1"/>
  <c r="AP146" i="1" s="1"/>
  <c r="AQ146" i="1" s="1"/>
  <c r="AT146" i="1" s="1"/>
  <c r="AN153" i="1"/>
  <c r="AP153" i="1" s="1"/>
  <c r="AQ153" i="1" s="1"/>
  <c r="AT153" i="1" s="1"/>
  <c r="AN195" i="1"/>
  <c r="AO195" i="1" s="1"/>
  <c r="AR195" i="1" s="1"/>
  <c r="AS195" i="1" s="1"/>
  <c r="AN76" i="1"/>
  <c r="AP76" i="1" s="1"/>
  <c r="AQ76" i="1" s="1"/>
  <c r="AT76" i="1" s="1"/>
  <c r="AN127" i="1"/>
  <c r="AO127" i="1" s="1"/>
  <c r="AR127" i="1" s="1"/>
  <c r="AS127" i="1" s="1"/>
  <c r="AN179" i="1"/>
  <c r="AP179" i="1" s="1"/>
  <c r="AQ179" i="1" s="1"/>
  <c r="AT179" i="1" s="1"/>
  <c r="AN107" i="1"/>
  <c r="AO107" i="1" s="1"/>
  <c r="AR107" i="1" s="1"/>
  <c r="AS107" i="1" s="1"/>
  <c r="AN139" i="1"/>
  <c r="AO139" i="1" s="1"/>
  <c r="AR139" i="1" s="1"/>
  <c r="AS139" i="1" s="1"/>
  <c r="AN106" i="1"/>
  <c r="AP106" i="1" s="1"/>
  <c r="AQ106" i="1" s="1"/>
  <c r="AT106" i="1" s="1"/>
  <c r="AN147" i="1"/>
  <c r="AP147" i="1" s="1"/>
  <c r="AQ147" i="1" s="1"/>
  <c r="AT147" i="1" s="1"/>
  <c r="AN118" i="1"/>
  <c r="AP118" i="1" s="1"/>
  <c r="AQ118" i="1" s="1"/>
  <c r="AT118" i="1" s="1"/>
  <c r="AN165" i="1"/>
  <c r="AP165" i="1" s="1"/>
  <c r="AQ165" i="1" s="1"/>
  <c r="AT165" i="1" s="1"/>
  <c r="AN38" i="1"/>
  <c r="AP38" i="1" s="1"/>
  <c r="AQ38" i="1" s="1"/>
  <c r="AT38" i="1" s="1"/>
  <c r="AN120" i="1"/>
  <c r="AO120" i="1" s="1"/>
  <c r="AR120" i="1" s="1"/>
  <c r="AS120" i="1" s="1"/>
  <c r="AN88" i="1"/>
  <c r="AO88" i="1" s="1"/>
  <c r="AR88" i="1" s="1"/>
  <c r="AS88" i="1" s="1"/>
  <c r="AN185" i="1"/>
  <c r="AP185" i="1" s="1"/>
  <c r="AQ185" i="1" s="1"/>
  <c r="AT185" i="1" s="1"/>
  <c r="AN136" i="1"/>
  <c r="AP136" i="1" s="1"/>
  <c r="AQ136" i="1" s="1"/>
  <c r="AT136" i="1" s="1"/>
  <c r="AN144" i="1"/>
  <c r="AP144" i="1" s="1"/>
  <c r="AQ144" i="1" s="1"/>
  <c r="AT144" i="1" s="1"/>
  <c r="AN122" i="1"/>
  <c r="AO122" i="1" s="1"/>
  <c r="AR122" i="1" s="1"/>
  <c r="AS122" i="1" s="1"/>
  <c r="AN115" i="1"/>
  <c r="AO115" i="1" s="1"/>
  <c r="AR115" i="1" s="1"/>
  <c r="AS115" i="1" s="1"/>
  <c r="AN161" i="1"/>
  <c r="AO161" i="1" s="1"/>
  <c r="AR161" i="1" s="1"/>
  <c r="AS161" i="1" s="1"/>
  <c r="AN183" i="1"/>
  <c r="AO183" i="1" s="1"/>
  <c r="AR183" i="1" s="1"/>
  <c r="AS183" i="1" s="1"/>
  <c r="AN89" i="1"/>
  <c r="AO89" i="1" s="1"/>
  <c r="AR89" i="1" s="1"/>
  <c r="AS89" i="1" s="1"/>
  <c r="AN30" i="1"/>
  <c r="AP30" i="1" s="1"/>
  <c r="AQ30" i="1" s="1"/>
  <c r="AT30" i="1" s="1"/>
  <c r="AN53" i="1"/>
  <c r="AO53" i="1" s="1"/>
  <c r="AR53" i="1" s="1"/>
  <c r="AS53" i="1" s="1"/>
  <c r="AN62" i="1"/>
  <c r="AO62" i="1" s="1"/>
  <c r="AR62" i="1" s="1"/>
  <c r="AS62" i="1" s="1"/>
  <c r="AN51" i="1"/>
  <c r="AO51" i="1" s="1"/>
  <c r="AR51" i="1" s="1"/>
  <c r="AS51" i="1" s="1"/>
  <c r="AN54" i="1"/>
  <c r="AO54" i="1" s="1"/>
  <c r="AR54" i="1" s="1"/>
  <c r="AS54" i="1" s="1"/>
  <c r="AN201" i="1"/>
  <c r="AP201" i="1" s="1"/>
  <c r="AQ201" i="1" s="1"/>
  <c r="AT201" i="1" s="1"/>
  <c r="AN81" i="1"/>
  <c r="AP81" i="1" s="1"/>
  <c r="AQ81" i="1" s="1"/>
  <c r="AT81" i="1" s="1"/>
  <c r="AN149" i="1"/>
  <c r="AO149" i="1" s="1"/>
  <c r="AR149" i="1" s="1"/>
  <c r="AS149" i="1" s="1"/>
  <c r="AN15" i="1"/>
  <c r="AP15" i="1" s="1"/>
  <c r="AQ15" i="1" s="1"/>
  <c r="AT15" i="1" s="1"/>
  <c r="AN197" i="1"/>
  <c r="AP197" i="1" s="1"/>
  <c r="AQ197" i="1" s="1"/>
  <c r="AT197" i="1" s="1"/>
  <c r="AN181" i="1"/>
  <c r="AO181" i="1" s="1"/>
  <c r="AR181" i="1" s="1"/>
  <c r="AS181" i="1" s="1"/>
  <c r="AN134" i="1"/>
  <c r="AP134" i="1" s="1"/>
  <c r="AQ134" i="1" s="1"/>
  <c r="AT134" i="1" s="1"/>
  <c r="AN108" i="1"/>
  <c r="AO108" i="1" s="1"/>
  <c r="AR108" i="1" s="1"/>
  <c r="AS108" i="1" s="1"/>
  <c r="AN138" i="1"/>
  <c r="AO138" i="1" s="1"/>
  <c r="AR138" i="1" s="1"/>
  <c r="AS138" i="1" s="1"/>
  <c r="AN66" i="1"/>
  <c r="AO66" i="1" s="1"/>
  <c r="AR66" i="1" s="1"/>
  <c r="AS66" i="1" s="1"/>
  <c r="AN117" i="1"/>
  <c r="AO117" i="1" s="1"/>
  <c r="AR117" i="1" s="1"/>
  <c r="AS117" i="1" s="1"/>
  <c r="AN199" i="1"/>
  <c r="AP199" i="1" s="1"/>
  <c r="AQ199" i="1" s="1"/>
  <c r="AT199" i="1" s="1"/>
  <c r="AN154" i="1"/>
  <c r="AO154" i="1" s="1"/>
  <c r="AR154" i="1" s="1"/>
  <c r="AS154" i="1" s="1"/>
  <c r="AN184" i="1"/>
  <c r="AP184" i="1" s="1"/>
  <c r="AQ184" i="1" s="1"/>
  <c r="AT184" i="1" s="1"/>
  <c r="AN91" i="1"/>
  <c r="AO91" i="1" s="1"/>
  <c r="AR91" i="1" s="1"/>
  <c r="AS91" i="1" s="1"/>
  <c r="AN119" i="1"/>
  <c r="AP119" i="1" s="1"/>
  <c r="AQ119" i="1" s="1"/>
  <c r="AT119" i="1" s="1"/>
  <c r="AN37" i="1"/>
  <c r="AO37" i="1" s="1"/>
  <c r="AR37" i="1" s="1"/>
  <c r="AS37" i="1" s="1"/>
  <c r="AN194" i="1"/>
  <c r="AP194" i="1" s="1"/>
  <c r="AQ194" i="1" s="1"/>
  <c r="AT194" i="1" s="1"/>
  <c r="AN114" i="1"/>
  <c r="AP114" i="1" s="1"/>
  <c r="AQ114" i="1" s="1"/>
  <c r="AT114" i="1" s="1"/>
  <c r="AN34" i="1"/>
  <c r="AO34" i="1" s="1"/>
  <c r="AR34" i="1" s="1"/>
  <c r="AS34" i="1" s="1"/>
  <c r="AN162" i="1"/>
  <c r="AP162" i="1" s="1"/>
  <c r="AQ162" i="1" s="1"/>
  <c r="AT162" i="1" s="1"/>
  <c r="AN50" i="1"/>
  <c r="AO50" i="1" s="1"/>
  <c r="AR50" i="1" s="1"/>
  <c r="AS50" i="1" s="1"/>
  <c r="AN48" i="1"/>
  <c r="AO48" i="1" s="1"/>
  <c r="AR48" i="1" s="1"/>
  <c r="AS48" i="1" s="1"/>
  <c r="AN137" i="1"/>
  <c r="AO137" i="1" s="1"/>
  <c r="AR137" i="1" s="1"/>
  <c r="AS137" i="1" s="1"/>
  <c r="AN174" i="1"/>
  <c r="AO174" i="1" s="1"/>
  <c r="AR174" i="1" s="1"/>
  <c r="AS174" i="1" s="1"/>
  <c r="AN75" i="1"/>
  <c r="AO75" i="1" s="1"/>
  <c r="AR75" i="1" s="1"/>
  <c r="AS75" i="1" s="1"/>
  <c r="AN18" i="1"/>
  <c r="AO18" i="1" s="1"/>
  <c r="AR18" i="1" s="1"/>
  <c r="AS18" i="1" s="1"/>
  <c r="AN25" i="1"/>
  <c r="AP25" i="1" s="1"/>
  <c r="AQ25" i="1" s="1"/>
  <c r="AT25" i="1" s="1"/>
  <c r="AN173" i="1"/>
  <c r="AO173" i="1" s="1"/>
  <c r="AR173" i="1" s="1"/>
  <c r="AS173" i="1" s="1"/>
  <c r="AN24" i="1"/>
  <c r="AO24" i="1" s="1"/>
  <c r="AR24" i="1" s="1"/>
  <c r="AS24" i="1" s="1"/>
  <c r="AO96" i="1"/>
  <c r="AR96" i="1" s="1"/>
  <c r="AS96" i="1" s="1"/>
  <c r="AP143" i="1"/>
  <c r="AQ143" i="1" s="1"/>
  <c r="AT143" i="1" s="1"/>
  <c r="AP180" i="1"/>
  <c r="AQ180" i="1" s="1"/>
  <c r="AT180" i="1" s="1"/>
  <c r="AO31" i="1"/>
  <c r="AR31" i="1" s="1"/>
  <c r="AS31" i="1" s="1"/>
  <c r="AP7" i="1"/>
  <c r="AQ7" i="1" s="1"/>
  <c r="AT7" i="1" s="1"/>
  <c r="AO176" i="1"/>
  <c r="AR176" i="1" s="1"/>
  <c r="AS176" i="1" s="1"/>
  <c r="AP155" i="1"/>
  <c r="AQ155" i="1" s="1"/>
  <c r="AT155" i="1" s="1"/>
  <c r="AO163" i="1"/>
  <c r="AR163" i="1" s="1"/>
  <c r="AS163" i="1" s="1"/>
  <c r="AP56" i="1"/>
  <c r="AQ56" i="1" s="1"/>
  <c r="AT56" i="1" s="1"/>
  <c r="AO5" i="1"/>
  <c r="AR5" i="1" s="1"/>
  <c r="AS5" i="1" s="1"/>
  <c r="AP101" i="1"/>
  <c r="AQ101" i="1" s="1"/>
  <c r="AT101" i="1" s="1"/>
  <c r="AP3" i="1"/>
  <c r="AQ3" i="1" s="1"/>
  <c r="AT3" i="1" s="1"/>
  <c r="AP100" i="1"/>
  <c r="AQ100" i="1" s="1"/>
  <c r="AT100" i="1" s="1"/>
  <c r="AP157" i="1"/>
  <c r="AQ157" i="1" s="1"/>
  <c r="AT157" i="1" s="1"/>
  <c r="AO157" i="1"/>
  <c r="AR157" i="1" s="1"/>
  <c r="AS157" i="1" s="1"/>
  <c r="AO190" i="1"/>
  <c r="AR190" i="1" s="1"/>
  <c r="AS190" i="1" s="1"/>
  <c r="AO83" i="1"/>
  <c r="AR83" i="1" s="1"/>
  <c r="AS83" i="1" s="1"/>
  <c r="AP83" i="1"/>
  <c r="AQ83" i="1" s="1"/>
  <c r="AT83" i="1" s="1"/>
  <c r="AO135" i="1"/>
  <c r="AR135" i="1" s="1"/>
  <c r="AS135" i="1" s="1"/>
  <c r="AP135" i="1"/>
  <c r="AQ135" i="1" s="1"/>
  <c r="AT135" i="1" s="1"/>
  <c r="AP44" i="1"/>
  <c r="AQ44" i="1" s="1"/>
  <c r="AT44" i="1" s="1"/>
  <c r="AO44" i="1"/>
  <c r="AR44" i="1" s="1"/>
  <c r="AS44" i="1" s="1"/>
  <c r="AO80" i="1"/>
  <c r="AR80" i="1" s="1"/>
  <c r="AS80" i="1" s="1"/>
  <c r="AP80" i="1"/>
  <c r="AQ80" i="1" s="1"/>
  <c r="AT80" i="1" s="1"/>
  <c r="AP92" i="1"/>
  <c r="AQ92" i="1" s="1"/>
  <c r="AT92" i="1" s="1"/>
  <c r="AO92" i="1"/>
  <c r="AR92" i="1" s="1"/>
  <c r="AS92" i="1" s="1"/>
  <c r="AO8" i="1"/>
  <c r="AR8" i="1" s="1"/>
  <c r="AS8" i="1" s="1"/>
  <c r="AP8" i="1"/>
  <c r="AQ8" i="1" s="1"/>
  <c r="AT8" i="1" s="1"/>
  <c r="AP148" i="1"/>
  <c r="AQ148" i="1" s="1"/>
  <c r="AT148" i="1" s="1"/>
  <c r="AP71" i="1"/>
  <c r="AQ71" i="1" s="1"/>
  <c r="AT71" i="1" s="1"/>
  <c r="AO63" i="1"/>
  <c r="AR63" i="1" s="1"/>
  <c r="AS63" i="1" s="1"/>
  <c r="AP182" i="1"/>
  <c r="AQ182" i="1" s="1"/>
  <c r="AT182" i="1" s="1"/>
  <c r="AO68" i="1"/>
  <c r="AR68" i="1" s="1"/>
  <c r="AS68" i="1" s="1"/>
  <c r="AO52" i="1"/>
  <c r="AR52" i="1" s="1"/>
  <c r="AS52" i="1" s="1"/>
  <c r="AP167" i="1"/>
  <c r="AQ167" i="1" s="1"/>
  <c r="AT167" i="1" s="1"/>
  <c r="AP93" i="1"/>
  <c r="AQ93" i="1" s="1"/>
  <c r="AT93" i="1" s="1"/>
  <c r="AP78" i="1"/>
  <c r="AQ78" i="1" s="1"/>
  <c r="AT78" i="1" s="1"/>
  <c r="AP121" i="1"/>
  <c r="AQ121" i="1" s="1"/>
  <c r="AT121" i="1" s="1"/>
  <c r="AO198" i="1"/>
  <c r="AR198" i="1" s="1"/>
  <c r="AS198" i="1" s="1"/>
  <c r="AP16" i="1"/>
  <c r="AQ16" i="1" s="1"/>
  <c r="AT16" i="1" s="1"/>
  <c r="AP9" i="1"/>
  <c r="AQ9" i="1" s="1"/>
  <c r="AT9" i="1" s="1"/>
  <c r="AO124" i="1"/>
  <c r="AR124" i="1" s="1"/>
  <c r="AS124" i="1" s="1"/>
  <c r="AO69" i="1"/>
  <c r="AR69" i="1" s="1"/>
  <c r="AS69" i="1" s="1"/>
  <c r="AP90" i="1"/>
  <c r="AQ90" i="1" s="1"/>
  <c r="AT90" i="1" s="1"/>
  <c r="AP65" i="1"/>
  <c r="AQ65" i="1" s="1"/>
  <c r="AT65" i="1" s="1"/>
  <c r="AO123" i="1"/>
  <c r="AR123" i="1" s="1"/>
  <c r="AS123" i="1" s="1"/>
  <c r="AO168" i="1"/>
  <c r="AR168" i="1" s="1"/>
  <c r="AS168" i="1" s="1"/>
  <c r="AO111" i="1"/>
  <c r="AR111" i="1" s="1"/>
  <c r="AS111" i="1" s="1"/>
  <c r="AO193" i="1"/>
  <c r="AR193" i="1" s="1"/>
  <c r="AS193" i="1" s="1"/>
  <c r="AO95" i="1"/>
  <c r="AR95" i="1" s="1"/>
  <c r="AS95" i="1" s="1"/>
  <c r="AO178" i="1"/>
  <c r="AR178" i="1" s="1"/>
  <c r="AS178" i="1" s="1"/>
  <c r="AP74" i="1"/>
  <c r="AQ74" i="1" s="1"/>
  <c r="AT74" i="1" s="1"/>
  <c r="AP99" i="1"/>
  <c r="AQ99" i="1" s="1"/>
  <c r="AT99" i="1" s="1"/>
  <c r="AO200" i="1"/>
  <c r="AR200" i="1" s="1"/>
  <c r="AS200" i="1" s="1"/>
  <c r="AO125" i="1"/>
  <c r="AR125" i="1" s="1"/>
  <c r="AS125" i="1" s="1"/>
  <c r="AO129" i="1"/>
  <c r="AR129" i="1" s="1"/>
  <c r="AS129" i="1" s="1"/>
  <c r="AO29" i="1"/>
  <c r="AR29" i="1" s="1"/>
  <c r="AS29" i="1" s="1"/>
  <c r="AO132" i="1"/>
  <c r="AR132" i="1" s="1"/>
  <c r="AS132" i="1" s="1"/>
  <c r="AO151" i="1"/>
  <c r="AR151" i="1" s="1"/>
  <c r="AS151" i="1" s="1"/>
  <c r="AO126" i="1"/>
  <c r="AR126" i="1" s="1"/>
  <c r="AS126" i="1" s="1"/>
  <c r="AO177" i="1"/>
  <c r="AR177" i="1" s="1"/>
  <c r="AS177" i="1" s="1"/>
  <c r="AP128" i="1"/>
  <c r="AQ128" i="1" s="1"/>
  <c r="AT128" i="1" s="1"/>
  <c r="AP45" i="1"/>
  <c r="AQ45" i="1" s="1"/>
  <c r="AT45" i="1" s="1"/>
  <c r="AP42" i="1"/>
  <c r="AQ42" i="1" s="1"/>
  <c r="AT42" i="1" s="1"/>
  <c r="AP85" i="1"/>
  <c r="AQ85" i="1" s="1"/>
  <c r="AT85" i="1" s="1"/>
  <c r="AO33" i="1"/>
  <c r="AR33" i="1" s="1"/>
  <c r="AS33" i="1" s="1"/>
  <c r="AP39" i="1"/>
  <c r="AQ39" i="1" s="1"/>
  <c r="AT39" i="1" s="1"/>
  <c r="AO39" i="1"/>
  <c r="AR39" i="1" s="1"/>
  <c r="AS39" i="1" s="1"/>
  <c r="AO156" i="1"/>
  <c r="AR156" i="1" s="1"/>
  <c r="AS156" i="1" s="1"/>
  <c r="AP156" i="1"/>
  <c r="AQ156" i="1" s="1"/>
  <c r="AT156" i="1" s="1"/>
  <c r="AP2" i="1"/>
  <c r="AQ2" i="1" s="1"/>
  <c r="AT2" i="1" s="1"/>
  <c r="AO2" i="1"/>
  <c r="AR2" i="1" s="1"/>
  <c r="AS2" i="1" s="1"/>
  <c r="AP28" i="1"/>
  <c r="AQ28" i="1" s="1"/>
  <c r="AT28" i="1" s="1"/>
  <c r="AO28" i="1"/>
  <c r="AR28" i="1" s="1"/>
  <c r="AS28" i="1" s="1"/>
  <c r="AP191" i="1" l="1"/>
  <c r="AQ191" i="1" s="1"/>
  <c r="AT191" i="1" s="1"/>
  <c r="AP141" i="1"/>
  <c r="AQ141" i="1" s="1"/>
  <c r="AT141" i="1" s="1"/>
  <c r="AP47" i="1"/>
  <c r="AQ47" i="1" s="1"/>
  <c r="AT47" i="1" s="1"/>
  <c r="AP66" i="1"/>
  <c r="AQ66" i="1" s="1"/>
  <c r="AT66" i="1" s="1"/>
  <c r="AP10" i="1"/>
  <c r="AQ10" i="1" s="1"/>
  <c r="AT10" i="1" s="1"/>
  <c r="AP12" i="1"/>
  <c r="AQ12" i="1" s="1"/>
  <c r="AT12" i="1" s="1"/>
  <c r="AO116" i="1"/>
  <c r="AR116" i="1" s="1"/>
  <c r="AS116" i="1" s="1"/>
  <c r="AO79" i="1"/>
  <c r="AR79" i="1" s="1"/>
  <c r="AS79" i="1" s="1"/>
  <c r="AO67" i="1"/>
  <c r="AR67" i="1" s="1"/>
  <c r="AS67" i="1" s="1"/>
  <c r="AP87" i="1"/>
  <c r="AQ87" i="1" s="1"/>
  <c r="AT87" i="1" s="1"/>
  <c r="AO17" i="1"/>
  <c r="AR17" i="1" s="1"/>
  <c r="AS17" i="1" s="1"/>
  <c r="AO82" i="1"/>
  <c r="AR82" i="1" s="1"/>
  <c r="AS82" i="1" s="1"/>
  <c r="AP11" i="1"/>
  <c r="AQ11" i="1" s="1"/>
  <c r="AT11" i="1" s="1"/>
  <c r="AP109" i="1"/>
  <c r="AQ109" i="1" s="1"/>
  <c r="AT109" i="1" s="1"/>
  <c r="AO27" i="1"/>
  <c r="AR27" i="1" s="1"/>
  <c r="AS27" i="1" s="1"/>
  <c r="AO70" i="1"/>
  <c r="AR70" i="1" s="1"/>
  <c r="AS70" i="1" s="1"/>
  <c r="AO133" i="1"/>
  <c r="AR133" i="1" s="1"/>
  <c r="AS133" i="1" s="1"/>
  <c r="AP55" i="1"/>
  <c r="AQ55" i="1" s="1"/>
  <c r="AT55" i="1" s="1"/>
  <c r="AO97" i="1"/>
  <c r="AR97" i="1" s="1"/>
  <c r="AS97" i="1" s="1"/>
  <c r="AP36" i="1"/>
  <c r="AQ36" i="1" s="1"/>
  <c r="AT36" i="1" s="1"/>
  <c r="AP46" i="1"/>
  <c r="AQ46" i="1" s="1"/>
  <c r="AT46" i="1" s="1"/>
  <c r="AO6" i="1"/>
  <c r="AR6" i="1" s="1"/>
  <c r="AS6" i="1" s="1"/>
  <c r="AO164" i="1"/>
  <c r="AR164" i="1" s="1"/>
  <c r="AS164" i="1" s="1"/>
  <c r="AP172" i="1"/>
  <c r="AQ172" i="1" s="1"/>
  <c r="AT172" i="1" s="1"/>
  <c r="AP159" i="1"/>
  <c r="AQ159" i="1" s="1"/>
  <c r="AT159" i="1" s="1"/>
  <c r="AP122" i="1"/>
  <c r="AQ122" i="1" s="1"/>
  <c r="AT122" i="1" s="1"/>
  <c r="AP195" i="1"/>
  <c r="AQ195" i="1" s="1"/>
  <c r="AT195" i="1" s="1"/>
  <c r="AP108" i="1"/>
  <c r="AQ108" i="1" s="1"/>
  <c r="AT108" i="1" s="1"/>
  <c r="AO20" i="1"/>
  <c r="AR20" i="1" s="1"/>
  <c r="AS20" i="1" s="1"/>
  <c r="AP158" i="1"/>
  <c r="AQ158" i="1" s="1"/>
  <c r="AT158" i="1" s="1"/>
  <c r="AO22" i="1"/>
  <c r="AR22" i="1" s="1"/>
  <c r="AS22" i="1" s="1"/>
  <c r="AO202" i="1"/>
  <c r="AR202" i="1" s="1"/>
  <c r="AS202" i="1" s="1"/>
  <c r="AP150" i="1"/>
  <c r="AQ150" i="1" s="1"/>
  <c r="AT150" i="1" s="1"/>
  <c r="AP41" i="1"/>
  <c r="AQ41" i="1" s="1"/>
  <c r="AT41" i="1" s="1"/>
  <c r="AO119" i="1"/>
  <c r="AR119" i="1" s="1"/>
  <c r="AS119" i="1" s="1"/>
  <c r="AO60" i="1"/>
  <c r="AR60" i="1" s="1"/>
  <c r="AS60" i="1" s="1"/>
  <c r="AO170" i="1"/>
  <c r="AR170" i="1" s="1"/>
  <c r="AS170" i="1" s="1"/>
  <c r="AO192" i="1"/>
  <c r="AR192" i="1" s="1"/>
  <c r="AS192" i="1" s="1"/>
  <c r="AO105" i="1"/>
  <c r="AR105" i="1" s="1"/>
  <c r="AS105" i="1" s="1"/>
  <c r="AP77" i="1"/>
  <c r="AQ77" i="1" s="1"/>
  <c r="AT77" i="1" s="1"/>
  <c r="AO59" i="1"/>
  <c r="AR59" i="1" s="1"/>
  <c r="AS59" i="1" s="1"/>
  <c r="AO72" i="1"/>
  <c r="AR72" i="1" s="1"/>
  <c r="AS72" i="1" s="1"/>
  <c r="AO43" i="1"/>
  <c r="AR43" i="1" s="1"/>
  <c r="AS43" i="1" s="1"/>
  <c r="AP160" i="1"/>
  <c r="AQ160" i="1" s="1"/>
  <c r="AT160" i="1" s="1"/>
  <c r="AP58" i="1"/>
  <c r="AQ58" i="1" s="1"/>
  <c r="AT58" i="1" s="1"/>
  <c r="AP48" i="1"/>
  <c r="AQ48" i="1" s="1"/>
  <c r="AT48" i="1" s="1"/>
  <c r="AP14" i="1"/>
  <c r="AQ14" i="1" s="1"/>
  <c r="AT14" i="1" s="1"/>
  <c r="AO106" i="1"/>
  <c r="AR106" i="1" s="1"/>
  <c r="AS106" i="1" s="1"/>
  <c r="AO187" i="1"/>
  <c r="AR187" i="1" s="1"/>
  <c r="AS187" i="1" s="1"/>
  <c r="AP19" i="1"/>
  <c r="AQ19" i="1" s="1"/>
  <c r="AT19" i="1" s="1"/>
  <c r="AO131" i="1"/>
  <c r="AR131" i="1" s="1"/>
  <c r="AS131" i="1" s="1"/>
  <c r="AP84" i="1"/>
  <c r="AQ84" i="1" s="1"/>
  <c r="AT84" i="1" s="1"/>
  <c r="AP98" i="1"/>
  <c r="AQ98" i="1" s="1"/>
  <c r="AT98" i="1" s="1"/>
  <c r="AP110" i="1"/>
  <c r="AQ110" i="1" s="1"/>
  <c r="AT110" i="1" s="1"/>
  <c r="AP26" i="1"/>
  <c r="AQ26" i="1" s="1"/>
  <c r="AT26" i="1" s="1"/>
  <c r="AO49" i="1"/>
  <c r="AR49" i="1" s="1"/>
  <c r="AS49" i="1" s="1"/>
  <c r="AP139" i="1"/>
  <c r="AQ139" i="1" s="1"/>
  <c r="AT139" i="1" s="1"/>
  <c r="AP32" i="1"/>
  <c r="AQ32" i="1" s="1"/>
  <c r="AT32" i="1" s="1"/>
  <c r="AO4" i="1"/>
  <c r="AR4" i="1" s="1"/>
  <c r="AS4" i="1" s="1"/>
  <c r="AP152" i="1"/>
  <c r="AQ152" i="1" s="1"/>
  <c r="AT152" i="1" s="1"/>
  <c r="AP94" i="1"/>
  <c r="AQ94" i="1" s="1"/>
  <c r="AT94" i="1" s="1"/>
  <c r="AP169" i="1"/>
  <c r="AQ169" i="1" s="1"/>
  <c r="AT169" i="1" s="1"/>
  <c r="AO102" i="1"/>
  <c r="AR102" i="1" s="1"/>
  <c r="AS102" i="1" s="1"/>
  <c r="AP104" i="1"/>
  <c r="AQ104" i="1" s="1"/>
  <c r="AT104" i="1" s="1"/>
  <c r="AP166" i="1"/>
  <c r="AQ166" i="1" s="1"/>
  <c r="AT166" i="1" s="1"/>
  <c r="AP37" i="1"/>
  <c r="AQ37" i="1" s="1"/>
  <c r="AT37" i="1" s="1"/>
  <c r="AO165" i="1"/>
  <c r="AR165" i="1" s="1"/>
  <c r="AS165" i="1" s="1"/>
  <c r="AP171" i="1"/>
  <c r="AQ171" i="1" s="1"/>
  <c r="AT171" i="1" s="1"/>
  <c r="AP188" i="1"/>
  <c r="AQ188" i="1" s="1"/>
  <c r="AT188" i="1" s="1"/>
  <c r="AP196" i="1"/>
  <c r="AQ196" i="1" s="1"/>
  <c r="AT196" i="1" s="1"/>
  <c r="AO114" i="1"/>
  <c r="AR114" i="1" s="1"/>
  <c r="AS114" i="1" s="1"/>
  <c r="AP51" i="1"/>
  <c r="AQ51" i="1" s="1"/>
  <c r="AT51" i="1" s="1"/>
  <c r="AO73" i="1"/>
  <c r="AR73" i="1" s="1"/>
  <c r="AS73" i="1" s="1"/>
  <c r="AP21" i="1"/>
  <c r="AQ21" i="1" s="1"/>
  <c r="AT21" i="1" s="1"/>
  <c r="AP145" i="1"/>
  <c r="AQ145" i="1" s="1"/>
  <c r="AT145" i="1" s="1"/>
  <c r="AP107" i="1"/>
  <c r="AQ107" i="1" s="1"/>
  <c r="AT107" i="1" s="1"/>
  <c r="AP120" i="1"/>
  <c r="AQ120" i="1" s="1"/>
  <c r="AT120" i="1" s="1"/>
  <c r="AP91" i="1"/>
  <c r="AQ91" i="1" s="1"/>
  <c r="AT91" i="1" s="1"/>
  <c r="AP113" i="1"/>
  <c r="AQ113" i="1" s="1"/>
  <c r="AT113" i="1" s="1"/>
  <c r="AO175" i="1"/>
  <c r="AR175" i="1" s="1"/>
  <c r="AS175" i="1" s="1"/>
  <c r="AO64" i="1"/>
  <c r="AR64" i="1" s="1"/>
  <c r="AS64" i="1" s="1"/>
  <c r="AP142" i="1"/>
  <c r="AQ142" i="1" s="1"/>
  <c r="AT142" i="1" s="1"/>
  <c r="AP140" i="1"/>
  <c r="AQ140" i="1" s="1"/>
  <c r="AT140" i="1" s="1"/>
  <c r="AP62" i="1"/>
  <c r="AQ62" i="1" s="1"/>
  <c r="AT62" i="1" s="1"/>
  <c r="AP149" i="1"/>
  <c r="AQ149" i="1" s="1"/>
  <c r="AT149" i="1" s="1"/>
  <c r="AO61" i="1"/>
  <c r="AR61" i="1" s="1"/>
  <c r="AS61" i="1" s="1"/>
  <c r="AP117" i="1"/>
  <c r="AQ117" i="1" s="1"/>
  <c r="AT117" i="1" s="1"/>
  <c r="AO118" i="1"/>
  <c r="AR118" i="1" s="1"/>
  <c r="AS118" i="1" s="1"/>
  <c r="AO134" i="1"/>
  <c r="AR134" i="1" s="1"/>
  <c r="AS134" i="1" s="1"/>
  <c r="AP130" i="1"/>
  <c r="AQ130" i="1" s="1"/>
  <c r="AT130" i="1" s="1"/>
  <c r="AP24" i="1"/>
  <c r="AQ24" i="1" s="1"/>
  <c r="AT24" i="1" s="1"/>
  <c r="AO199" i="1"/>
  <c r="AR199" i="1" s="1"/>
  <c r="AS199" i="1" s="1"/>
  <c r="AO185" i="1"/>
  <c r="AR185" i="1" s="1"/>
  <c r="AS185" i="1" s="1"/>
  <c r="AP189" i="1"/>
  <c r="AQ189" i="1" s="1"/>
  <c r="AT189" i="1" s="1"/>
  <c r="AO30" i="1"/>
  <c r="AR30" i="1" s="1"/>
  <c r="AS30" i="1" s="1"/>
  <c r="AP34" i="1"/>
  <c r="AQ34" i="1" s="1"/>
  <c r="AT34" i="1" s="1"/>
  <c r="AO15" i="1"/>
  <c r="AR15" i="1" s="1"/>
  <c r="AS15" i="1" s="1"/>
  <c r="AP23" i="1"/>
  <c r="AQ23" i="1" s="1"/>
  <c r="AT23" i="1" s="1"/>
  <c r="AP18" i="1"/>
  <c r="AQ18" i="1" s="1"/>
  <c r="AT18" i="1" s="1"/>
  <c r="AO146" i="1"/>
  <c r="AR146" i="1" s="1"/>
  <c r="AS146" i="1" s="1"/>
  <c r="AP103" i="1"/>
  <c r="AQ103" i="1" s="1"/>
  <c r="AT103" i="1" s="1"/>
  <c r="AO76" i="1"/>
  <c r="AR76" i="1" s="1"/>
  <c r="AS76" i="1" s="1"/>
  <c r="AP137" i="1"/>
  <c r="AQ137" i="1" s="1"/>
  <c r="AT137" i="1" s="1"/>
  <c r="AP112" i="1"/>
  <c r="AQ112" i="1" s="1"/>
  <c r="AT112" i="1" s="1"/>
  <c r="AO25" i="1"/>
  <c r="AR25" i="1" s="1"/>
  <c r="AS25" i="1" s="1"/>
  <c r="AP57" i="1"/>
  <c r="AQ57" i="1" s="1"/>
  <c r="AT57" i="1" s="1"/>
  <c r="AP35" i="1"/>
  <c r="AQ35" i="1" s="1"/>
  <c r="AT35" i="1" s="1"/>
  <c r="AP127" i="1"/>
  <c r="AQ127" i="1" s="1"/>
  <c r="AT127" i="1" s="1"/>
  <c r="AP54" i="1"/>
  <c r="AQ54" i="1" s="1"/>
  <c r="AT54" i="1" s="1"/>
  <c r="AP115" i="1"/>
  <c r="AQ115" i="1" s="1"/>
  <c r="AT115" i="1" s="1"/>
  <c r="AO186" i="1"/>
  <c r="AR186" i="1" s="1"/>
  <c r="AS186" i="1" s="1"/>
  <c r="AO153" i="1"/>
  <c r="AR153" i="1" s="1"/>
  <c r="AS153" i="1" s="1"/>
  <c r="AP13" i="1"/>
  <c r="AQ13" i="1" s="1"/>
  <c r="AT13" i="1" s="1"/>
  <c r="AO81" i="1"/>
  <c r="AR81" i="1" s="1"/>
  <c r="AS81" i="1" s="1"/>
  <c r="AO144" i="1"/>
  <c r="AR144" i="1" s="1"/>
  <c r="AS144" i="1" s="1"/>
  <c r="AO197" i="1"/>
  <c r="AR197" i="1" s="1"/>
  <c r="AS197" i="1" s="1"/>
  <c r="AO86" i="1"/>
  <c r="AR86" i="1" s="1"/>
  <c r="AS86" i="1" s="1"/>
  <c r="AP50" i="1"/>
  <c r="AQ50" i="1" s="1"/>
  <c r="AT50" i="1" s="1"/>
  <c r="AO184" i="1"/>
  <c r="AR184" i="1" s="1"/>
  <c r="AS184" i="1" s="1"/>
  <c r="AP183" i="1"/>
  <c r="AQ183" i="1" s="1"/>
  <c r="AT183" i="1" s="1"/>
  <c r="AO147" i="1"/>
  <c r="AR147" i="1" s="1"/>
  <c r="AS147" i="1" s="1"/>
  <c r="AP154" i="1"/>
  <c r="AQ154" i="1" s="1"/>
  <c r="AT154" i="1" s="1"/>
  <c r="AP75" i="1"/>
  <c r="AQ75" i="1" s="1"/>
  <c r="AT75" i="1" s="1"/>
  <c r="AP174" i="1"/>
  <c r="AQ174" i="1" s="1"/>
  <c r="AT174" i="1" s="1"/>
  <c r="AO194" i="1"/>
  <c r="AR194" i="1" s="1"/>
  <c r="AS194" i="1" s="1"/>
  <c r="AP181" i="1"/>
  <c r="AQ181" i="1" s="1"/>
  <c r="AT181" i="1" s="1"/>
  <c r="AO40" i="1"/>
  <c r="AR40" i="1" s="1"/>
  <c r="AS40" i="1" s="1"/>
  <c r="AO179" i="1"/>
  <c r="AR179" i="1" s="1"/>
  <c r="AS179" i="1" s="1"/>
  <c r="AO136" i="1"/>
  <c r="AR136" i="1" s="1"/>
  <c r="AS136" i="1" s="1"/>
  <c r="AP89" i="1"/>
  <c r="AQ89" i="1" s="1"/>
  <c r="AT89" i="1" s="1"/>
  <c r="AO38" i="1"/>
  <c r="AR38" i="1" s="1"/>
  <c r="AS38" i="1" s="1"/>
  <c r="AP53" i="1"/>
  <c r="AQ53" i="1" s="1"/>
  <c r="AT53" i="1" s="1"/>
  <c r="AP138" i="1"/>
  <c r="AQ138" i="1" s="1"/>
  <c r="AT138" i="1" s="1"/>
  <c r="AP161" i="1"/>
  <c r="AQ161" i="1" s="1"/>
  <c r="AT161" i="1" s="1"/>
  <c r="AP88" i="1"/>
  <c r="AQ88" i="1" s="1"/>
  <c r="AT88" i="1" s="1"/>
  <c r="AO162" i="1"/>
  <c r="AR162" i="1" s="1"/>
  <c r="AS162" i="1" s="1"/>
  <c r="AO201" i="1"/>
  <c r="AR201" i="1" s="1"/>
  <c r="AS201" i="1" s="1"/>
  <c r="AP173" i="1"/>
  <c r="AQ173" i="1" s="1"/>
  <c r="AT173" i="1" s="1"/>
</calcChain>
</file>

<file path=xl/comments1.xml><?xml version="1.0" encoding="utf-8"?>
<comments xmlns="http://schemas.openxmlformats.org/spreadsheetml/2006/main">
  <authors>
    <author>ffgd3d</author>
  </authors>
  <commentList>
    <comment ref="D24" authorId="0">
      <text>
        <r>
          <rPr>
            <b/>
            <sz val="8"/>
            <color indexed="81"/>
            <rFont val="Tahoma"/>
            <family val="2"/>
          </rPr>
          <t>Scales with square root of current unless switch size is changed.</t>
        </r>
      </text>
    </comment>
    <comment ref="C25" authorId="0">
      <text>
        <r>
          <rPr>
            <b/>
            <sz val="8"/>
            <color indexed="81"/>
            <rFont val="Tahoma"/>
            <family val="2"/>
          </rPr>
          <t>Adder to load scales with switch size.</t>
        </r>
      </text>
    </comment>
    <comment ref="D25" authorId="0">
      <text>
        <r>
          <rPr>
            <b/>
            <sz val="8"/>
            <color indexed="81"/>
            <rFont val="Tahoma"/>
            <family val="2"/>
          </rPr>
          <t>Scales inversely with switch size.</t>
        </r>
      </text>
    </comment>
    <comment ref="C26" authorId="0">
      <text>
        <r>
          <rPr>
            <b/>
            <sz val="8"/>
            <color indexed="81"/>
            <rFont val="Tahoma"/>
            <family val="2"/>
          </rPr>
          <t>Adder to load scales with switch size.</t>
        </r>
      </text>
    </comment>
    <comment ref="D26" authorId="0">
      <text>
        <r>
          <rPr>
            <b/>
            <sz val="8"/>
            <color indexed="81"/>
            <rFont val="Tahoma"/>
            <family val="2"/>
          </rPr>
          <t>Scales with VIN assuming the same impact from Cdiode, Miller C, Coss charge/discharge.
Scales inversely with switch size if driver also scaled since peak adder current prior to voltage rise is higher.</t>
        </r>
      </text>
    </comment>
    <comment ref="D27" authorId="0">
      <text>
        <r>
          <rPr>
            <b/>
            <sz val="8"/>
            <color indexed="81"/>
            <rFont val="Tahoma"/>
            <family val="2"/>
          </rPr>
          <t>No scaling with VIN or switch size.</t>
        </r>
      </text>
    </comment>
  </commentList>
</comments>
</file>

<file path=xl/sharedStrings.xml><?xml version="1.0" encoding="utf-8"?>
<sst xmlns="http://schemas.openxmlformats.org/spreadsheetml/2006/main" count="227" uniqueCount="164">
  <si>
    <t>DESIGN INPUTS</t>
  </si>
  <si>
    <t>Enter Values</t>
  </si>
  <si>
    <t>MAX INPUT VOLTAGE(Vin)</t>
  </si>
  <si>
    <t>MIN INPUT VOLTAGE(Vin)</t>
  </si>
  <si>
    <t>OUTPUT VOLTAGE(Vo)</t>
  </si>
  <si>
    <t>LOAD CURRENT(Io)</t>
  </si>
  <si>
    <t>SWITCHING FREQUENCY(Fsw)</t>
  </si>
  <si>
    <t>Tsw</t>
  </si>
  <si>
    <t>CROSSOVER FREQUENCY(Fc)</t>
  </si>
  <si>
    <t>HIGH SIDE MOSFET ON RESISTANCE(Rdson)</t>
  </si>
  <si>
    <t>LOW SIDE MOSFET ON RESISTANCE(Rdson)</t>
  </si>
  <si>
    <r>
      <t>ERROR AMPLIFIER TRANSCONDUCTANCE (g</t>
    </r>
    <r>
      <rPr>
        <b/>
        <sz val="6"/>
        <rFont val="Arial"/>
        <family val="2"/>
      </rPr>
      <t>M</t>
    </r>
    <r>
      <rPr>
        <b/>
        <sz val="10"/>
        <rFont val="Arial"/>
        <family val="2"/>
      </rPr>
      <t>)</t>
    </r>
  </si>
  <si>
    <t>Duty Cycle</t>
  </si>
  <si>
    <t>∆Vin or input ripple voltage</t>
  </si>
  <si>
    <t>Input Capacitor</t>
  </si>
  <si>
    <t>Input Capacitor RMS current</t>
  </si>
  <si>
    <t>Ro</t>
  </si>
  <si>
    <t>DCR (inductor resistance)</t>
  </si>
  <si>
    <t>OUTPUT CAPACITOR</t>
  </si>
  <si>
    <t>ESR of output capacitor</t>
  </si>
  <si>
    <t>Peak to Peak Ripple:capacitive component</t>
  </si>
  <si>
    <t>Peak to Peak Ripple:ESR component</t>
  </si>
  <si>
    <t>VOLTAGE DIVIDER NETWORK</t>
  </si>
  <si>
    <t>Actual Output Voltage</t>
  </si>
  <si>
    <t>COMPENSATION</t>
  </si>
  <si>
    <t>Suggested Cc</t>
  </si>
  <si>
    <t>Suggested Rc</t>
  </si>
  <si>
    <t>Suggested Cf</t>
  </si>
  <si>
    <t>Zero Location</t>
  </si>
  <si>
    <t>Pole Location</t>
  </si>
  <si>
    <t>D</t>
  </si>
  <si>
    <t>f</t>
  </si>
  <si>
    <t>s</t>
  </si>
  <si>
    <t>g1</t>
  </si>
  <si>
    <t>g2</t>
  </si>
  <si>
    <t>g3</t>
  </si>
  <si>
    <t>g4</t>
  </si>
  <si>
    <t>Vout(s)/Verr(s)</t>
  </si>
  <si>
    <t>|Vout(s)/Verr(s)|</t>
  </si>
  <si>
    <t>ang</t>
  </si>
  <si>
    <t>°</t>
  </si>
  <si>
    <t>db</t>
  </si>
  <si>
    <t>ota1</t>
  </si>
  <si>
    <t>ota2</t>
  </si>
  <si>
    <t>ota3</t>
  </si>
  <si>
    <t>g(s)</t>
  </si>
  <si>
    <t>|(g(s)|</t>
  </si>
  <si>
    <t>Gain At Frequency</t>
  </si>
  <si>
    <t>Minimum Frequency</t>
  </si>
  <si>
    <t>D'</t>
  </si>
  <si>
    <t>wn</t>
  </si>
  <si>
    <t>Maximum Frequency</t>
  </si>
  <si>
    <t>Tsw_</t>
  </si>
  <si>
    <t>Qp</t>
  </si>
  <si>
    <t>Mccm</t>
  </si>
  <si>
    <t>wz1</t>
  </si>
  <si>
    <t>Ω</t>
  </si>
  <si>
    <t>M</t>
  </si>
  <si>
    <t>Sn</t>
  </si>
  <si>
    <t>A/s</t>
  </si>
  <si>
    <t>wp1</t>
  </si>
  <si>
    <t>mc</t>
  </si>
  <si>
    <t>Rout</t>
  </si>
  <si>
    <t>Se</t>
  </si>
  <si>
    <t>Dmax</t>
  </si>
  <si>
    <t>Rsw_eq</t>
  </si>
  <si>
    <t>Cout</t>
  </si>
  <si>
    <t>Cesr</t>
  </si>
  <si>
    <t>OTA Parameters</t>
  </si>
  <si>
    <t>C0</t>
  </si>
  <si>
    <t>F</t>
  </si>
  <si>
    <t>R0</t>
  </si>
  <si>
    <t>Rotaesd</t>
  </si>
  <si>
    <t>gm</t>
  </si>
  <si>
    <t>wz1e</t>
  </si>
  <si>
    <t>wz2e</t>
  </si>
  <si>
    <t>wp1e</t>
  </si>
  <si>
    <t>wp2e</t>
  </si>
  <si>
    <t>comp_C1</t>
  </si>
  <si>
    <t>comp_C2</t>
  </si>
  <si>
    <t>L</t>
  </si>
  <si>
    <t>Vout</t>
  </si>
  <si>
    <t>N/A</t>
  </si>
  <si>
    <t>NOMINAL INPUT VOLTAGE</t>
  </si>
  <si>
    <t>INPUT CAPACITOR</t>
  </si>
  <si>
    <t>INDUCTOR CURRENT RIPPLE</t>
  </si>
  <si>
    <t>INDUCTOR</t>
  </si>
  <si>
    <t xml:space="preserve">∆ Load step </t>
  </si>
  <si>
    <t>OUTPUT VOLTAGE CHANGE(STEP LOAD) (%)</t>
  </si>
  <si>
    <t>∆Vout</t>
  </si>
  <si>
    <t>RFB2 (LOWER)</t>
  </si>
  <si>
    <t>RFB1 (UPPER)</t>
  </si>
  <si>
    <t>Values used</t>
  </si>
  <si>
    <t>Ri</t>
  </si>
  <si>
    <t>com_c1</t>
  </si>
  <si>
    <t>comp_c2</t>
  </si>
  <si>
    <t>Cout(output capacitance)</t>
  </si>
  <si>
    <t>Rload</t>
  </si>
  <si>
    <t>L(output Inductance)</t>
  </si>
  <si>
    <t>%</t>
  </si>
  <si>
    <t>V</t>
  </si>
  <si>
    <t>A</t>
  </si>
  <si>
    <t>Hz</t>
  </si>
  <si>
    <t xml:space="preserve">% </t>
  </si>
  <si>
    <t>S</t>
  </si>
  <si>
    <t>INPUT VOLTAGE RIPPLE</t>
  </si>
  <si>
    <t>Calculation</t>
  </si>
  <si>
    <t>MHz</t>
  </si>
  <si>
    <t>uF</t>
  </si>
  <si>
    <t>uH</t>
  </si>
  <si>
    <t>pF</t>
  </si>
  <si>
    <t>Note: There is a 18pF capacitor at the output of the OTA integrated in the IC, and if a larger capacitor needs to be used, please subtract this value from Cf.</t>
  </si>
  <si>
    <t>Note: The selected inductor value must be larger than the calculated value.  This design sheet is only for continuous conduction mode.</t>
  </si>
  <si>
    <t>NCV8902xx (2A 2MHz Buck Regulator)</t>
  </si>
  <si>
    <t>Worst Case Maximum Allowable Ambient Temperature</t>
  </si>
  <si>
    <t xml:space="preserve">Output Voltage: </t>
  </si>
  <si>
    <t xml:space="preserve">Output Current: </t>
  </si>
  <si>
    <t>Reference output current</t>
  </si>
  <si>
    <t xml:space="preserve">Switching Frequency: </t>
  </si>
  <si>
    <t>kHz</t>
  </si>
  <si>
    <t xml:space="preserve">Diode forward voltage: </t>
  </si>
  <si>
    <t>Rdson</t>
  </si>
  <si>
    <t xml:space="preserve">R theta j-a: </t>
  </si>
  <si>
    <t>°C/W</t>
  </si>
  <si>
    <t>BST LDO Load</t>
  </si>
  <si>
    <t>mA</t>
  </si>
  <si>
    <t>Iq</t>
  </si>
  <si>
    <t>Reference</t>
  </si>
  <si>
    <t>Input Voltage</t>
  </si>
  <si>
    <t>Operating Switching Frequency (kHz)</t>
  </si>
  <si>
    <t>=Vin+VD</t>
  </si>
  <si>
    <t>=0 to Load</t>
  </si>
  <si>
    <t>t1</t>
  </si>
  <si>
    <t>=Vin-1</t>
  </si>
  <si>
    <t>=Load to Load+0.4</t>
  </si>
  <si>
    <t>t2</t>
  </si>
  <si>
    <t>=Vin-1 to 1V</t>
  </si>
  <si>
    <t>=Load+0.4 to Load</t>
  </si>
  <si>
    <t>t3</t>
  </si>
  <si>
    <t>=0.5V</t>
  </si>
  <si>
    <t>=Load</t>
  </si>
  <si>
    <t>t4</t>
  </si>
  <si>
    <t>t1 switching loss</t>
  </si>
  <si>
    <t>t2 switching loss</t>
  </si>
  <si>
    <t>t3 switching loss</t>
  </si>
  <si>
    <t>t4 switching loss</t>
  </si>
  <si>
    <t>Switching Losses (W)</t>
  </si>
  <si>
    <t>Conduction losses (W)</t>
  </si>
  <si>
    <t>Total FET losses (W)</t>
  </si>
  <si>
    <t>Bootstrap LDO losses (W)</t>
  </si>
  <si>
    <t>Iq losses (W)</t>
  </si>
  <si>
    <t>Total Dissipation (W)</t>
  </si>
  <si>
    <t>Temp rise (°C)</t>
  </si>
  <si>
    <t>Max ambient (°C)</t>
  </si>
  <si>
    <t>Diode power dissipation (W)</t>
  </si>
  <si>
    <r>
      <t xml:space="preserve">This spreadsheet calculates the maximum ambient temperature which ensures that the junction temperature of the IC doesn't exceed 150°C in the worst case.
</t>
    </r>
    <r>
      <rPr>
        <b/>
        <i/>
        <sz val="8"/>
        <color indexed="8"/>
        <rFont val="Calibri"/>
        <family val="2"/>
      </rPr>
      <t xml:space="preserve">
</t>
    </r>
    <r>
      <rPr>
        <b/>
        <i/>
        <sz val="11"/>
        <color indexed="8"/>
        <rFont val="Calibri"/>
        <family val="2"/>
      </rPr>
      <t xml:space="preserve">Enter the output voltage, output current, switching frequency and Rtheta(j-a) of the application; and adjust the minimum and maximum input voltages. Use worst case values for a worst case result.
</t>
    </r>
    <r>
      <rPr>
        <b/>
        <i/>
        <sz val="8"/>
        <color indexed="8"/>
        <rFont val="Calibri"/>
        <family val="2"/>
      </rPr>
      <t xml:space="preserve">
</t>
    </r>
    <r>
      <rPr>
        <b/>
        <i/>
        <sz val="11"/>
        <color indexed="8"/>
        <rFont val="Calibri"/>
        <family val="2"/>
      </rPr>
      <t>The Bootstrap LDO losses can be excluded if an external 3.3 V bootstrap voltage source is used.</t>
    </r>
  </si>
  <si>
    <t>NCV89010x / NCV89020x min input voltage calculator</t>
  </si>
  <si>
    <t>rev. 0</t>
  </si>
  <si>
    <t xml:space="preserve">Calculates the Vin thresholds at which: </t>
  </si>
  <si>
    <t>Vout =</t>
  </si>
  <si>
    <t>Iout</t>
  </si>
  <si>
    <t>Vin min @ 2MHz</t>
  </si>
  <si>
    <t>Vin min (loss of reg)</t>
  </si>
  <si>
    <t>* note: the regulator shuts down when Vin is lower than 4.2 V typical (4.5 V max.)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</si>
</sst>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E+00"/>
    <numFmt numFmtId="165" formatCode="0.0000000"/>
    <numFmt numFmtId="166" formatCode="0.000"/>
    <numFmt numFmtId="167" formatCode="0.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u/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6"/>
      <name val="Arial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sz val="11"/>
      <name val="돋움체"/>
      <family val="3"/>
      <charset val="129"/>
    </font>
    <font>
      <b/>
      <u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Tahoma"/>
      <family val="2"/>
    </font>
    <font>
      <sz val="11"/>
      <color theme="3"/>
      <name val="Calibri"/>
      <family val="2"/>
      <scheme val="minor"/>
    </font>
    <font>
      <sz val="10"/>
      <name val="Arial"/>
      <family val="2"/>
    </font>
    <font>
      <b/>
      <sz val="10"/>
      <color theme="3"/>
      <name val="Arial"/>
      <family val="2"/>
    </font>
    <font>
      <b/>
      <sz val="10"/>
      <color theme="6" tint="-0.499984740745262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8"/>
      <color indexed="8"/>
      <name val="Calibri"/>
      <family val="2"/>
    </font>
    <font>
      <b/>
      <i/>
      <sz val="11"/>
      <color indexed="8"/>
      <name val="Calibri"/>
      <family val="2"/>
    </font>
    <font>
      <b/>
      <sz val="8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7F48C"/>
        <bgColor indexed="64"/>
      </patternFill>
    </fill>
  </fills>
  <borders count="3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" fillId="4" borderId="0">
      <protection locked="0"/>
    </xf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Protection="1">
      <protection locked="0"/>
    </xf>
    <xf numFmtId="0" fontId="0" fillId="0" borderId="0" xfId="3" applyFont="1" applyFill="1" applyProtection="1"/>
    <xf numFmtId="0" fontId="10" fillId="0" borderId="0" xfId="0" applyFont="1" applyAlignment="1">
      <alignment horizontal="center"/>
    </xf>
    <xf numFmtId="0" fontId="1" fillId="4" borderId="2" xfId="3" applyBorder="1" applyAlignment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4" borderId="2" xfId="3" applyBorder="1" applyAlignment="1" applyProtection="1">
      <alignment horizontal="center"/>
      <protection locked="0"/>
    </xf>
    <xf numFmtId="0" fontId="1" fillId="4" borderId="0" xfId="3" applyProtection="1"/>
    <xf numFmtId="0" fontId="5" fillId="0" borderId="0" xfId="0" applyFont="1" applyFill="1" applyBorder="1" applyAlignment="1" applyProtection="1">
      <alignment horizontal="center"/>
    </xf>
    <xf numFmtId="0" fontId="11" fillId="2" borderId="2" xfId="1" applyFont="1" applyBorder="1" applyAlignment="1" applyProtection="1">
      <alignment horizontal="center"/>
    </xf>
    <xf numFmtId="0" fontId="5" fillId="0" borderId="0" xfId="0" applyFont="1" applyFill="1" applyAlignment="1" applyProtection="1">
      <alignment horizontal="center"/>
    </xf>
    <xf numFmtId="0" fontId="4" fillId="2" borderId="2" xfId="1" applyFont="1" applyBorder="1" applyAlignment="1" applyProtection="1">
      <alignment horizont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3" fillId="3" borderId="1" xfId="2" applyNumberFormat="1" applyAlignment="1" applyProtection="1">
      <alignment horizontal="center"/>
    </xf>
    <xf numFmtId="0" fontId="3" fillId="3" borderId="4" xfId="2" applyNumberFormat="1" applyBorder="1" applyAlignment="1" applyProtection="1">
      <alignment horizontal="center"/>
    </xf>
    <xf numFmtId="0" fontId="3" fillId="3" borderId="5" xfId="2" applyNumberFormat="1" applyBorder="1" applyAlignment="1" applyProtection="1">
      <alignment horizontal="center"/>
    </xf>
    <xf numFmtId="0" fontId="3" fillId="3" borderId="3" xfId="2" applyNumberFormat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vertical="center"/>
    </xf>
    <xf numFmtId="0" fontId="0" fillId="0" borderId="0" xfId="0" applyNumberFormat="1" applyFill="1" applyAlignment="1" applyProtection="1">
      <alignment horizontal="center"/>
    </xf>
    <xf numFmtId="0" fontId="0" fillId="0" borderId="0" xfId="0" applyNumberFormat="1" applyProtection="1"/>
    <xf numFmtId="0" fontId="0" fillId="0" borderId="0" xfId="0" applyAlignment="1" applyProtection="1"/>
    <xf numFmtId="0" fontId="6" fillId="0" borderId="0" xfId="0" applyFont="1" applyProtection="1"/>
    <xf numFmtId="0" fontId="8" fillId="0" borderId="0" xfId="0" applyFont="1" applyProtection="1"/>
    <xf numFmtId="0" fontId="6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vertical="center"/>
    </xf>
    <xf numFmtId="11" fontId="0" fillId="0" borderId="0" xfId="0" applyNumberFormat="1" applyFill="1" applyBorder="1" applyAlignment="1" applyProtection="1">
      <alignment horizontal="center"/>
    </xf>
    <xf numFmtId="11" fontId="6" fillId="0" borderId="0" xfId="0" applyNumberFormat="1" applyFont="1" applyProtection="1"/>
    <xf numFmtId="0" fontId="0" fillId="0" borderId="0" xfId="0" applyFill="1" applyBorder="1" applyAlignment="1" applyProtection="1">
      <alignment horizontal="center"/>
    </xf>
    <xf numFmtId="0" fontId="6" fillId="0" borderId="0" xfId="0" applyNumberFormat="1" applyFont="1" applyProtection="1"/>
    <xf numFmtId="0" fontId="6" fillId="0" borderId="0" xfId="0" applyFont="1" applyAlignment="1" applyProtection="1"/>
    <xf numFmtId="0" fontId="9" fillId="0" borderId="0" xfId="0" applyFont="1" applyProtection="1"/>
    <xf numFmtId="164" fontId="0" fillId="0" borderId="0" xfId="0" applyNumberFormat="1" applyFill="1" applyBorder="1" applyAlignment="1" applyProtection="1">
      <alignment horizontal="center"/>
    </xf>
    <xf numFmtId="165" fontId="6" fillId="0" borderId="0" xfId="0" applyNumberFormat="1" applyFont="1" applyProtection="1"/>
    <xf numFmtId="0" fontId="0" fillId="0" borderId="0" xfId="0" applyNumberForma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2" fillId="2" borderId="2" xfId="1" applyBorder="1" applyAlignment="1" applyProtection="1">
      <alignment horizontal="center"/>
    </xf>
    <xf numFmtId="0" fontId="0" fillId="4" borderId="2" xfId="3" applyNumberFormat="1" applyFont="1" applyBorder="1" applyAlignment="1" applyProtection="1">
      <alignment horizontal="center"/>
      <protection locked="0"/>
    </xf>
    <xf numFmtId="0" fontId="3" fillId="3" borderId="1" xfId="2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/>
    </xf>
    <xf numFmtId="0" fontId="14" fillId="0" borderId="0" xfId="0" applyNumberFormat="1" applyFont="1" applyFill="1" applyBorder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14" fillId="5" borderId="1" xfId="2" applyFont="1" applyFill="1" applyAlignment="1" applyProtection="1">
      <alignment horizontal="center"/>
    </xf>
    <xf numFmtId="0" fontId="0" fillId="0" borderId="0" xfId="0" applyAlignment="1" applyProtection="1">
      <alignment wrapText="1"/>
    </xf>
    <xf numFmtId="0" fontId="15" fillId="0" borderId="0" xfId="0" applyFont="1" applyFill="1" applyBorder="1" applyAlignment="1" applyProtection="1">
      <alignment horizontal="center" wrapText="1"/>
    </xf>
    <xf numFmtId="0" fontId="0" fillId="0" borderId="0" xfId="0" applyAlignment="1">
      <alignment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  <protection hidden="1"/>
    </xf>
    <xf numFmtId="0" fontId="17" fillId="0" borderId="6" xfId="0" applyFont="1" applyBorder="1" applyAlignment="1" applyProtection="1">
      <alignment horizontal="center" vertical="center"/>
      <protection hidden="1"/>
    </xf>
    <xf numFmtId="0" fontId="17" fillId="0" borderId="7" xfId="0" applyFont="1" applyBorder="1" applyAlignment="1" applyProtection="1">
      <alignment horizontal="center" vertical="center"/>
      <protection hidden="1"/>
    </xf>
    <xf numFmtId="0" fontId="17" fillId="0" borderId="8" xfId="0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0" fillId="0" borderId="0" xfId="0" applyFill="1" applyBorder="1" applyAlignment="1" applyProtection="1">
      <alignment horizontal="right" vertical="center"/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16" fillId="0" borderId="0" xfId="0" applyFont="1" applyFill="1" applyBorder="1" applyAlignment="1" applyProtection="1">
      <alignment horizontal="right" vertical="center"/>
      <protection hidden="1"/>
    </xf>
    <xf numFmtId="0" fontId="16" fillId="6" borderId="2" xfId="0" applyFont="1" applyFill="1" applyBorder="1" applyAlignment="1" applyProtection="1">
      <alignment horizontal="center" vertical="center"/>
      <protection locked="0" hidden="1"/>
    </xf>
    <xf numFmtId="0" fontId="16" fillId="0" borderId="0" xfId="0" applyFont="1" applyFill="1" applyBorder="1" applyAlignment="1" applyProtection="1">
      <alignment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right"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0" fillId="0" borderId="0" xfId="0" quotePrefix="1" applyAlignment="1" applyProtection="1">
      <alignment vertical="center"/>
      <protection hidden="1"/>
    </xf>
    <xf numFmtId="0" fontId="0" fillId="0" borderId="0" xfId="0" quotePrefix="1" applyFill="1" applyBorder="1" applyAlignment="1" applyProtection="1">
      <alignment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166" fontId="0" fillId="0" borderId="0" xfId="0" applyNumberFormat="1" applyAlignment="1" applyProtection="1">
      <alignment vertical="center"/>
      <protection hidden="1"/>
    </xf>
    <xf numFmtId="9" fontId="1" fillId="0" borderId="0" xfId="4" applyFont="1" applyAlignment="1" applyProtection="1">
      <alignment vertical="center"/>
      <protection hidden="1"/>
    </xf>
    <xf numFmtId="167" fontId="0" fillId="0" borderId="0" xfId="0" applyNumberFormat="1" applyFill="1" applyBorder="1" applyAlignment="1" applyProtection="1">
      <alignment horizontal="center" vertical="center"/>
      <protection hidden="1"/>
    </xf>
    <xf numFmtId="2" fontId="0" fillId="0" borderId="0" xfId="0" applyNumberFormat="1" applyFill="1" applyBorder="1" applyAlignment="1" applyProtection="1">
      <alignment horizontal="center" vertical="center"/>
      <protection hidden="1"/>
    </xf>
    <xf numFmtId="0" fontId="20" fillId="0" borderId="0" xfId="0" applyFont="1" applyFill="1" applyBorder="1" applyAlignment="1" applyProtection="1">
      <alignment vertical="center"/>
      <protection hidden="1"/>
    </xf>
    <xf numFmtId="166" fontId="20" fillId="0" borderId="0" xfId="0" applyNumberFormat="1" applyFont="1" applyFill="1" applyBorder="1" applyAlignment="1" applyProtection="1">
      <alignment vertical="center"/>
      <protection hidden="1"/>
    </xf>
    <xf numFmtId="0" fontId="20" fillId="0" borderId="0" xfId="0" applyFont="1" applyAlignment="1" applyProtection="1">
      <alignment horizontal="righ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66" fontId="0" fillId="0" borderId="0" xfId="0" applyNumberFormat="1" applyFill="1" applyBorder="1" applyAlignment="1" applyProtection="1">
      <alignment horizontal="right" vertical="center"/>
      <protection hidden="1"/>
    </xf>
    <xf numFmtId="166" fontId="0" fillId="0" borderId="0" xfId="0" applyNumberFormat="1" applyFill="1" applyBorder="1" applyAlignment="1" applyProtection="1">
      <alignment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locked="0" hidden="1"/>
    </xf>
    <xf numFmtId="0" fontId="0" fillId="0" borderId="0" xfId="0" applyBorder="1" applyAlignment="1" applyProtection="1">
      <alignment vertical="center"/>
      <protection hidden="1"/>
    </xf>
    <xf numFmtId="0" fontId="0" fillId="0" borderId="12" xfId="0" applyBorder="1" applyAlignment="1" applyProtection="1">
      <alignment vertical="center"/>
      <protection hidden="1"/>
    </xf>
    <xf numFmtId="0" fontId="21" fillId="0" borderId="13" xfId="0" applyFont="1" applyBorder="1" applyAlignment="1" applyProtection="1">
      <alignment horizontal="center" vertical="center"/>
      <protection hidden="1"/>
    </xf>
    <xf numFmtId="0" fontId="21" fillId="0" borderId="14" xfId="0" applyFont="1" applyBorder="1" applyAlignment="1" applyProtection="1">
      <alignment horizontal="center" vertical="center"/>
      <protection hidden="1"/>
    </xf>
    <xf numFmtId="0" fontId="21" fillId="0" borderId="15" xfId="0" applyFont="1" applyBorder="1" applyAlignment="1" applyProtection="1">
      <alignment horizontal="center" vertical="center"/>
      <protection hidden="1"/>
    </xf>
    <xf numFmtId="0" fontId="19" fillId="0" borderId="13" xfId="0" applyFont="1" applyBorder="1" applyAlignment="1" applyProtection="1">
      <alignment horizontal="center" vertical="center"/>
      <protection hidden="1"/>
    </xf>
    <xf numFmtId="0" fontId="16" fillId="6" borderId="16" xfId="0" applyFont="1" applyFill="1" applyBorder="1" applyAlignment="1" applyProtection="1">
      <alignment horizontal="center" vertical="center"/>
      <protection locked="0" hidden="1"/>
    </xf>
    <xf numFmtId="0" fontId="0" fillId="0" borderId="16" xfId="0" applyFont="1" applyFill="1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7" xfId="0" applyFill="1" applyBorder="1" applyAlignment="1" applyProtection="1">
      <alignment horizontal="center" vertical="center"/>
      <protection hidden="1"/>
    </xf>
    <xf numFmtId="0" fontId="0" fillId="0" borderId="12" xfId="0" applyFill="1" applyBorder="1" applyAlignment="1" applyProtection="1">
      <alignment horizontal="center" vertical="center"/>
      <protection hidden="1"/>
    </xf>
    <xf numFmtId="0" fontId="0" fillId="0" borderId="17" xfId="0" applyBorder="1" applyAlignment="1" applyProtection="1">
      <alignment vertical="center"/>
      <protection hidden="1"/>
    </xf>
    <xf numFmtId="0" fontId="20" fillId="0" borderId="0" xfId="0" applyFont="1" applyBorder="1" applyAlignment="1" applyProtection="1">
      <alignment horizontal="right" vertical="center"/>
      <protection hidden="1"/>
    </xf>
    <xf numFmtId="0" fontId="0" fillId="0" borderId="17" xfId="0" applyBorder="1" applyAlignment="1" applyProtection="1">
      <alignment horizontal="center" vertical="center"/>
      <protection hidden="1"/>
    </xf>
    <xf numFmtId="0" fontId="0" fillId="0" borderId="18" xfId="0" applyBorder="1" applyAlignment="1" applyProtection="1">
      <alignment horizontal="center" vertical="center"/>
      <protection hidden="1"/>
    </xf>
    <xf numFmtId="0" fontId="0" fillId="0" borderId="17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horizontal="center" vertical="center"/>
      <protection hidden="1"/>
    </xf>
    <xf numFmtId="2" fontId="0" fillId="0" borderId="17" xfId="0" applyNumberFormat="1" applyBorder="1" applyAlignment="1" applyProtection="1">
      <alignment horizontal="center" vertical="center"/>
      <protection hidden="1"/>
    </xf>
    <xf numFmtId="2" fontId="0" fillId="0" borderId="18" xfId="0" applyNumberFormat="1" applyBorder="1" applyAlignment="1" applyProtection="1">
      <alignment horizontal="center" vertical="center"/>
      <protection hidden="1"/>
    </xf>
    <xf numFmtId="0" fontId="0" fillId="0" borderId="18" xfId="0" applyBorder="1" applyAlignment="1" applyProtection="1">
      <alignment vertical="center"/>
      <protection hidden="1"/>
    </xf>
    <xf numFmtId="0" fontId="0" fillId="0" borderId="17" xfId="0" quotePrefix="1" applyBorder="1" applyAlignment="1" applyProtection="1">
      <alignment horizontal="center" vertical="center"/>
      <protection hidden="1"/>
    </xf>
    <xf numFmtId="0" fontId="0" fillId="0" borderId="0" xfId="0" quotePrefix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2" fontId="20" fillId="0" borderId="17" xfId="0" applyNumberFormat="1" applyFont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vertical="center"/>
      <protection hidden="1"/>
    </xf>
    <xf numFmtId="167" fontId="0" fillId="0" borderId="18" xfId="0" applyNumberForma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right" vertical="center"/>
      <protection hidden="1"/>
    </xf>
    <xf numFmtId="166" fontId="0" fillId="0" borderId="17" xfId="0" applyNumberFormat="1" applyBorder="1" applyAlignment="1" applyProtection="1">
      <alignment horizontal="center" vertical="center"/>
      <protection hidden="1"/>
    </xf>
    <xf numFmtId="166" fontId="0" fillId="0" borderId="18" xfId="0" applyNumberFormat="1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1" fontId="0" fillId="0" borderId="9" xfId="0" applyNumberFormat="1" applyBorder="1" applyAlignment="1" applyProtection="1">
      <alignment horizontal="center" vertical="center"/>
      <protection hidden="1"/>
    </xf>
    <xf numFmtId="1" fontId="0" fillId="0" borderId="20" xfId="0" applyNumberFormat="1" applyBorder="1" applyAlignment="1" applyProtection="1">
      <alignment horizontal="center" vertical="center"/>
      <protection hidden="1"/>
    </xf>
    <xf numFmtId="0" fontId="22" fillId="7" borderId="6" xfId="0" applyFont="1" applyFill="1" applyBorder="1" applyAlignment="1" applyProtection="1">
      <alignment horizontal="center" vertical="center"/>
      <protection hidden="1"/>
    </xf>
    <xf numFmtId="0" fontId="22" fillId="7" borderId="7" xfId="0" applyFont="1" applyFill="1" applyBorder="1" applyAlignment="1" applyProtection="1">
      <alignment horizontal="center" vertical="center"/>
      <protection hidden="1"/>
    </xf>
    <xf numFmtId="0" fontId="22" fillId="7" borderId="8" xfId="0" applyFont="1" applyFill="1" applyBorder="1" applyAlignment="1" applyProtection="1">
      <alignment horizontal="center" vertical="center"/>
      <protection hidden="1"/>
    </xf>
    <xf numFmtId="1" fontId="22" fillId="7" borderId="6" xfId="0" applyNumberFormat="1" applyFont="1" applyFill="1" applyBorder="1" applyAlignment="1" applyProtection="1">
      <alignment horizontal="center" vertical="center"/>
      <protection hidden="1"/>
    </xf>
    <xf numFmtId="1" fontId="22" fillId="7" borderId="12" xfId="0" applyNumberFormat="1" applyFont="1" applyFill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1" fontId="5" fillId="0" borderId="7" xfId="0" applyNumberFormat="1" applyFont="1" applyBorder="1" applyAlignment="1" applyProtection="1">
      <alignment horizontal="center" vertical="center"/>
      <protection hidden="1"/>
    </xf>
    <xf numFmtId="1" fontId="5" fillId="0" borderId="12" xfId="0" applyNumberFormat="1" applyFont="1" applyBorder="1" applyAlignment="1" applyProtection="1">
      <alignment horizontal="center" vertical="center"/>
      <protection hidden="1"/>
    </xf>
    <xf numFmtId="0" fontId="23" fillId="0" borderId="9" xfId="0" applyFont="1" applyBorder="1" applyAlignment="1" applyProtection="1">
      <alignment horizontal="center" vertical="center"/>
      <protection hidden="1"/>
    </xf>
    <xf numFmtId="0" fontId="23" fillId="0" borderId="10" xfId="0" applyFont="1" applyBorder="1" applyAlignment="1" applyProtection="1">
      <alignment horizontal="center" vertical="center"/>
      <protection hidden="1"/>
    </xf>
    <xf numFmtId="166" fontId="23" fillId="0" borderId="10" xfId="0" applyNumberFormat="1" applyFont="1" applyBorder="1" applyAlignment="1" applyProtection="1">
      <alignment horizontal="center" vertical="center"/>
      <protection hidden="1"/>
    </xf>
    <xf numFmtId="166" fontId="23" fillId="0" borderId="20" xfId="0" applyNumberFormat="1" applyFont="1" applyBorder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vertical="center" wrapText="1"/>
      <protection hidden="1"/>
    </xf>
    <xf numFmtId="0" fontId="17" fillId="0" borderId="13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7" fillId="8" borderId="0" xfId="0" applyFont="1" applyFill="1" applyAlignment="1" applyProtection="1">
      <alignment horizontal="center"/>
      <protection locked="0"/>
    </xf>
    <xf numFmtId="0" fontId="0" fillId="0" borderId="16" xfId="0" applyBorder="1" applyAlignment="1">
      <alignment horizontal="center"/>
    </xf>
    <xf numFmtId="0" fontId="0" fillId="0" borderId="21" xfId="0" applyBorder="1" applyAlignment="1"/>
    <xf numFmtId="0" fontId="0" fillId="0" borderId="22" xfId="0" applyBorder="1" applyAlignment="1"/>
    <xf numFmtId="0" fontId="0" fillId="0" borderId="23" xfId="0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2" fontId="0" fillId="0" borderId="27" xfId="0" applyNumberFormat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2" fontId="0" fillId="0" borderId="30" xfId="0" applyNumberFormat="1" applyBorder="1" applyAlignment="1">
      <alignment horizontal="center"/>
    </xf>
    <xf numFmtId="2" fontId="0" fillId="0" borderId="31" xfId="0" applyNumberFormat="1" applyBorder="1" applyAlignment="1">
      <alignment horizontal="center"/>
    </xf>
  </cellXfs>
  <cellStyles count="5">
    <cellStyle name="Calculation" xfId="2" builtinId="22"/>
    <cellStyle name="Good" xfId="1" builtinId="26"/>
    <cellStyle name="Normal" xfId="0" builtinId="0"/>
    <cellStyle name="ONInput" xfId="3"/>
    <cellStyle name="Percent" xfId="4" builtinId="5"/>
  </cellStyles>
  <dxfs count="1">
    <dxf>
      <font>
        <color theme="5" tint="-0.24994659260841701"/>
      </font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Phase of Verr / Vout (Compensator)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5186269310616249"/>
          <c:y val="0.14946716994325607"/>
          <c:w val="0.73143280969597613"/>
          <c:h val="0.7539968988588718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'Design tool'!$AQ$1</c:f>
              <c:strCache>
                <c:ptCount val="1"/>
                <c:pt idx="0">
                  <c:v>°</c:v>
                </c:pt>
              </c:strCache>
            </c:strRef>
          </c:tx>
          <c:marker>
            <c:symbol val="none"/>
          </c:marker>
          <c:xVal>
            <c:numRef>
              <c:f>'Design tool'!$Z$2:$Z$202</c:f>
              <c:numCache>
                <c:formatCode>General</c:formatCode>
                <c:ptCount val="201"/>
                <c:pt idx="0">
                  <c:v>1</c:v>
                </c:pt>
                <c:pt idx="1">
                  <c:v>1.0634378492473788</c:v>
                </c:pt>
                <c:pt idx="2">
                  <c:v>1.1309000592118907</c:v>
                </c:pt>
                <c:pt idx="3">
                  <c:v>1.2026419266820265</c:v>
                </c:pt>
                <c:pt idx="4">
                  <c:v>1.278934943925458</c:v>
                </c:pt>
                <c:pt idx="5">
                  <c:v>1.3600678260954062</c:v>
                </c:pt>
                <c:pt idx="6">
                  <c:v>1.4463476038134566</c:v>
                </c:pt>
                <c:pt idx="7">
                  <c:v>1.5381007850634825</c:v>
                </c:pt>
                <c:pt idx="8">
                  <c:v>1.6356745907936145</c:v>
                </c:pt>
                <c:pt idx="9">
                  <c:v>1.7394382689021479</c:v>
                </c:pt>
                <c:pt idx="10">
                  <c:v>1.849784491579884</c:v>
                </c:pt>
                <c:pt idx="11">
                  <c:v>1.967130841296868</c:v>
                </c:pt>
                <c:pt idx="12">
                  <c:v>2.0919213910569279</c:v>
                </c:pt>
                <c:pt idx="13">
                  <c:v>2.2246283849001642</c:v>
                </c:pt>
                <c:pt idx="14">
                  <c:v>2.365754025012901</c:v>
                </c:pt>
                <c:pt idx="15">
                  <c:v>2.5158323722080485</c:v>
                </c:pt>
                <c:pt idx="16">
                  <c:v>2.6754313669678584</c:v>
                </c:pt>
                <c:pt idx="17">
                  <c:v>2.8451549786972743</c:v>
                </c:pt>
                <c:pt idx="18">
                  <c:v>3.0256454913213009</c:v>
                </c:pt>
                <c:pt idx="19">
                  <c:v>3.2175859338757533</c:v>
                </c:pt>
                <c:pt idx="20">
                  <c:v>3.42170266528945</c:v>
                </c:pt>
                <c:pt idx="21">
                  <c:v>3.6387681231394358</c:v>
                </c:pt>
                <c:pt idx="22">
                  <c:v>3.8696037467813236</c:v>
                </c:pt>
                <c:pt idx="23">
                  <c:v>4.1150830859167291</c:v>
                </c:pt>
                <c:pt idx="24">
                  <c:v>4.376135106361553</c:v>
                </c:pt>
                <c:pt idx="25">
                  <c:v>4.6537477055250784</c:v>
                </c:pt>
                <c:pt idx="26">
                  <c:v>4.9489714509035139</c:v>
                </c:pt>
                <c:pt idx="27">
                  <c:v>5.2629235557355134</c:v>
                </c:pt>
                <c:pt idx="28">
                  <c:v>5.5967921068647417</c:v>
                </c:pt>
                <c:pt idx="29">
                  <c:v>5.9518405608089449</c:v>
                </c:pt>
                <c:pt idx="30">
                  <c:v>6.3294125250499764</c:v>
                </c:pt>
                <c:pt idx="31">
                  <c:v>6.7309368426385694</c:v>
                </c:pt>
                <c:pt idx="32">
                  <c:v>7.1579329993555039</c:v>
                </c:pt>
                <c:pt idx="33">
                  <c:v>7.6120168738914558</c:v>
                </c:pt>
                <c:pt idx="34">
                  <c:v>8.0949068528058863</c:v>
                </c:pt>
                <c:pt idx="35">
                  <c:v>8.6084303334057619</c:v>
                </c:pt>
                <c:pt idx="36">
                  <c:v>9.1545306391529166</c:v>
                </c:pt>
                <c:pt idx="37">
                  <c:v>9.7352743737700074</c:v>
                </c:pt>
                <c:pt idx="38">
                  <c:v>10.352859241875105</c:v>
                </c:pt>
                <c:pt idx="39">
                  <c:v>11.009622365740512</c:v>
                </c:pt>
                <c:pt idx="40">
                  <c:v>11.708049129648925</c:v>
                </c:pt>
                <c:pt idx="41">
                  <c:v>12.4507825853165</c:v>
                </c:pt>
                <c:pt idx="42">
                  <c:v>13.240633453975693</c:v>
                </c:pt>
                <c:pt idx="43">
                  <c:v>14.080590762968805</c:v>
                </c:pt>
                <c:pt idx="44">
                  <c:v>14.973833157104059</c:v>
                </c:pt>
                <c:pt idx="45">
                  <c:v>15.923740927579823</c:v>
                </c:pt>
                <c:pt idx="46">
                  <c:v>16.933908803997952</c:v>
                </c:pt>
                <c:pt idx="47">
                  <c:v>18.008159557874837</c:v>
                </c:pt>
                <c:pt idx="48">
                  <c:v>19.150558469130036</c:v>
                </c:pt>
                <c:pt idx="49">
                  <c:v>20.365428710297824</c:v>
                </c:pt>
                <c:pt idx="50">
                  <c:v>21.657367706679931</c:v>
                </c:pt>
                <c:pt idx="51">
                  <c:v>23.031264534351347</c:v>
                </c:pt>
                <c:pt idx="52">
                  <c:v>24.492318421858034</c:v>
                </c:pt>
                <c:pt idx="53">
                  <c:v>26.046058425622668</c:v>
                </c:pt>
                <c:pt idx="54">
                  <c:v>27.698364353515743</c:v>
                </c:pt>
                <c:pt idx="55">
                  <c:v>29.45548901577305</c:v>
                </c:pt>
                <c:pt idx="56">
                  <c:v>31.324081887463471</c:v>
                </c:pt>
                <c:pt idx="57">
                  <c:v>33.311214272052936</c:v>
                </c:pt>
                <c:pt idx="58">
                  <c:v>35.424406061290533</c:v>
                </c:pt>
                <c:pt idx="59">
                  <c:v>37.67165419268462</c:v>
                </c:pt>
                <c:pt idx="60">
                  <c:v>40.061462912259522</c:v>
                </c:pt>
                <c:pt idx="61">
                  <c:v>42.602875957116908</c:v>
                </c:pt>
                <c:pt idx="62">
                  <c:v>45.305510779589277</c:v>
                </c:pt>
                <c:pt idx="63">
                  <c:v>48.179594942500358</c:v>
                </c:pt>
                <c:pt idx="64">
                  <c:v>51.236004823262483</c:v>
                </c:pt>
                <c:pt idx="65">
                  <c:v>54.486306773278585</c:v>
                </c:pt>
                <c:pt idx="66">
                  <c:v>57.94280088840825</c:v>
                </c:pt>
                <c:pt idx="67">
                  <c:v>61.61856755613799</c:v>
                </c:pt>
                <c:pt idx="68">
                  <c:v>65.527516955603716</c:v>
                </c:pt>
                <c:pt idx="69">
                  <c:v>69.684441697788372</c:v>
                </c:pt>
                <c:pt idx="70">
                  <c:v>74.105072805100434</c:v>
                </c:pt>
                <c:pt idx="71">
                  <c:v>78.806139242176371</c:v>
                </c:pt>
                <c:pt idx="72">
                  <c:v>83.805431223189501</c:v>
                </c:pt>
                <c:pt idx="73">
                  <c:v>89.121867535237712</c:v>
                </c:pt>
                <c:pt idx="74">
                  <c:v>94.775567132582992</c:v>
                </c:pt>
                <c:pt idx="75">
                  <c:v>100.78792527267464</c:v>
                </c:pt>
                <c:pt idx="76">
                  <c:v>107.18169448207877</c:v>
                </c:pt>
                <c:pt idx="77">
                  <c:v>113.98107065871142</c:v>
                </c:pt>
                <c:pt idx="78">
                  <c:v>121.21178463621371</c:v>
                </c:pt>
                <c:pt idx="79">
                  <c:v>128.90119955697148</c:v>
                </c:pt>
                <c:pt idx="80">
                  <c:v>137.07841442227294</c:v>
                </c:pt>
                <c:pt idx="81">
                  <c:v>145.77437421146283</c:v>
                </c:pt>
                <c:pt idx="82">
                  <c:v>155.02198698682062</c:v>
                </c:pt>
                <c:pt idx="83">
                  <c:v>164.85624842731968</c:v>
                </c:pt>
                <c:pt idx="84">
                  <c:v>175.3143742625403</c:v>
                </c:pt>
                <c:pt idx="85">
                  <c:v>186.43594110790573</c:v>
                </c:pt>
                <c:pt idx="86">
                  <c:v>198.26303623420247</c:v>
                </c:pt>
                <c:pt idx="87">
                  <c:v>210.84041683815525</c:v>
                </c:pt>
                <c:pt idx="88">
                  <c:v>224.21567941678887</c:v>
                </c:pt>
                <c:pt idx="89">
                  <c:v>238.43943988652958</c:v>
                </c:pt>
                <c:pt idx="90">
                  <c:v>253.56552512868072</c:v>
                </c:pt>
                <c:pt idx="91">
                  <c:v>269.65117668612646</c:v>
                </c:pt>
                <c:pt idx="92">
                  <c:v>286.75726738211927</c:v>
                </c:pt>
                <c:pt idx="93">
                  <c:v>304.94853168089651</c:v>
                </c:pt>
                <c:pt idx="94">
                  <c:v>324.29381066187881</c:v>
                </c:pt>
                <c:pt idx="95">
                  <c:v>344.8663125345048</c:v>
                </c:pt>
                <c:pt idx="96">
                  <c:v>366.74388967956821</c:v>
                </c:pt>
                <c:pt idx="97">
                  <c:v>390.00933326545766</c:v>
                </c:pt>
                <c:pt idx="98">
                  <c:v>414.75068655422291</c:v>
                </c:pt>
                <c:pt idx="99">
                  <c:v>441.06157808309626</c:v>
                </c:pt>
                <c:pt idx="100">
                  <c:v>469.04157598234281</c:v>
                </c:pt>
                <c:pt idx="101">
                  <c:v>498.79656477026373</c:v>
                </c:pt>
                <c:pt idx="102">
                  <c:v>530.4391460512702</c:v>
                </c:pt>
                <c:pt idx="103">
                  <c:v>564.08906463337905</c:v>
                </c:pt>
                <c:pt idx="104">
                  <c:v>599.87366167768641</c:v>
                </c:pt>
                <c:pt idx="105">
                  <c:v>637.92835659466812</c:v>
                </c:pt>
                <c:pt idx="106">
                  <c:v>678.39715951094945</c:v>
                </c:pt>
                <c:pt idx="107">
                  <c:v>721.43321624585462</c:v>
                </c:pt>
                <c:pt idx="108">
                  <c:v>767.19938786011153</c:v>
                </c:pt>
                <c:pt idx="109">
                  <c:v>815.86886696986198</c:v>
                </c:pt>
                <c:pt idx="110">
                  <c:v>867.62583315832671</c:v>
                </c:pt>
                <c:pt idx="111">
                  <c:v>922.66614996535543</c:v>
                </c:pt>
                <c:pt idx="112">
                  <c:v>981.19810609251715</c:v>
                </c:pt>
                <c:pt idx="113">
                  <c:v>1043.443203628628</c:v>
                </c:pt>
                <c:pt idx="114">
                  <c:v>1109.6369962786232</c:v>
                </c:pt>
                <c:pt idx="115">
                  <c:v>1180.0299807678607</c:v>
                </c:pt>
                <c:pt idx="116">
                  <c:v>1254.8885447951977</c:v>
                </c:pt>
                <c:pt idx="117">
                  <c:v>1334.4959751221782</c:v>
                </c:pt>
                <c:pt idx="118">
                  <c:v>1419.1535296132129</c:v>
                </c:pt>
                <c:pt idx="119">
                  <c:v>1509.1815772837017</c:v>
                </c:pt>
                <c:pt idx="120">
                  <c:v>1604.9208106703452</c:v>
                </c:pt>
                <c:pt idx="121">
                  <c:v>1706.7335351116335</c:v>
                </c:pt>
                <c:pt idx="122">
                  <c:v>1815.0050398174897</c:v>
                </c:pt>
                <c:pt idx="123">
                  <c:v>1930.1450559166665</c:v>
                </c:pt>
                <c:pt idx="124">
                  <c:v>2052.58930699948</c:v>
                </c:pt>
                <c:pt idx="125">
                  <c:v>2182.8011580236971</c:v>
                </c:pt>
                <c:pt idx="126">
                  <c:v>2321.2733688234066</c:v>
                </c:pt>
                <c:pt idx="127">
                  <c:v>2468.5299588567814</c:v>
                </c:pt>
                <c:pt idx="128">
                  <c:v>2625.1281902493761</c:v>
                </c:pt>
                <c:pt idx="129">
                  <c:v>2791.6606766374607</c:v>
                </c:pt>
                <c:pt idx="130">
                  <c:v>2968.757625791824</c:v>
                </c:pt>
                <c:pt idx="131">
                  <c:v>3157.0892245088098</c:v>
                </c:pt>
                <c:pt idx="132">
                  <c:v>3357.3681747937244</c:v>
                </c:pt>
                <c:pt idx="133">
                  <c:v>3570.3523909342362</c:v>
                </c:pt>
                <c:pt idx="134">
                  <c:v>3796.8478676703417</c:v>
                </c:pt>
                <c:pt idx="135">
                  <c:v>4037.7117303148448</c:v>
                </c:pt>
                <c:pt idx="136">
                  <c:v>4293.8554783669315</c:v>
                </c:pt>
                <c:pt idx="137">
                  <c:v>4566.248434893605</c:v>
                </c:pt>
                <c:pt idx="138">
                  <c:v>4855.9214147324665</c:v>
                </c:pt>
                <c:pt idx="139">
                  <c:v>5163.9706253973836</c:v>
                </c:pt>
                <c:pt idx="140">
                  <c:v>5491.5618154492358</c:v>
                </c:pt>
                <c:pt idx="141">
                  <c:v>5839.9346860303567</c:v>
                </c:pt>
                <c:pt idx="142">
                  <c:v>6210.4075822572904</c:v>
                </c:pt>
                <c:pt idx="143">
                  <c:v>6604.3824822253073</c:v>
                </c:pt>
                <c:pt idx="144">
                  <c:v>7023.3503025047467</c:v>
                </c:pt>
                <c:pt idx="145">
                  <c:v>7468.8965402065769</c:v>
                </c:pt>
                <c:pt idx="146">
                  <c:v>7942.7072729684578</c:v>
                </c:pt>
                <c:pt idx="147">
                  <c:v>8446.5755395671058</c:v>
                </c:pt>
                <c:pt idx="148">
                  <c:v>8982.4081253027471</c:v>
                </c:pt>
                <c:pt idx="149">
                  <c:v>9552.2327778341514</c:v>
                </c:pt>
                <c:pt idx="150">
                  <c:v>10158.205880770249</c:v>
                </c:pt>
                <c:pt idx="151">
                  <c:v>10802.620614058389</c:v>
                </c:pt>
                <c:pt idx="152">
                  <c:v>11487.915632049675</c:v>
                </c:pt>
                <c:pt idx="153">
                  <c:v>12216.684292082227</c:v>
                </c:pt>
                <c:pt idx="154">
                  <c:v>12991.684468506162</c:v>
                </c:pt>
                <c:pt idx="155">
                  <c:v>13815.848989288772</c:v>
                </c:pt>
                <c:pt idx="156">
                  <c:v>14692.296734695852</c:v>
                </c:pt>
                <c:pt idx="157">
                  <c:v>15624.344440049217</c:v>
                </c:pt>
                <c:pt idx="158">
                  <c:v>16615.519247226184</c:v>
                </c:pt>
                <c:pt idx="159">
                  <c:v>17669.572052398642</c:v>
                </c:pt>
                <c:pt idx="160">
                  <c:v>18790.49170052441</c:v>
                </c:pt>
                <c:pt idx="161">
                  <c:v>19982.5200803064</c:v>
                </c:pt>
                <c:pt idx="162">
                  <c:v>21250.168176743602</c:v>
                </c:pt>
                <c:pt idx="163">
                  <c:v>22598.233142021272</c:v>
                </c:pt>
                <c:pt idx="164">
                  <c:v>24031.816449341983</c:v>
                </c:pt>
                <c:pt idx="165">
                  <c:v>25556.343198396022</c:v>
                </c:pt>
                <c:pt idx="166">
                  <c:v>27177.582645530147</c:v>
                </c:pt>
                <c:pt idx="167">
                  <c:v>28901.670036305419</c:v>
                </c:pt>
                <c:pt idx="168">
                  <c:v>30735.129823066054</c:v>
                </c:pt>
                <c:pt idx="169">
                  <c:v>32684.900355380338</c:v>
                </c:pt>
                <c:pt idx="170">
                  <c:v>34758.360136790499</c:v>
                </c:pt>
                <c:pt idx="171">
                  <c:v>36963.355747234389</c:v>
                </c:pt>
                <c:pt idx="172">
                  <c:v>39308.231536804677</c:v>
                </c:pt>
                <c:pt idx="173">
                  <c:v>41801.861203217486</c:v>
                </c:pt>
                <c:pt idx="174">
                  <c:v>44453.681372487059</c:v>
                </c:pt>
                <c:pt idx="175">
                  <c:v>47273.727309885995</c:v>
                </c:pt>
                <c:pt idx="176">
                  <c:v>50272.670896332245</c:v>
                </c:pt>
                <c:pt idx="177">
                  <c:v>53461.861013916772</c:v>
                </c:pt>
                <c:pt idx="178">
                  <c:v>56853.366493401947</c:v>
                </c:pt>
                <c:pt idx="179">
                  <c:v>60460.02178621637</c:v>
                </c:pt>
                <c:pt idx="180">
                  <c:v>64295.47553378361</c:v>
                </c:pt>
                <c:pt idx="181">
                  <c:v>68374.242217984312</c:v>
                </c:pt>
                <c:pt idx="182">
                  <c:v>72711.757088212587</c:v>
                </c:pt>
                <c:pt idx="183">
                  <c:v>77324.434572886516</c:v>
                </c:pt>
                <c:pt idx="184">
                  <c:v>82229.730396460247</c:v>
                </c:pt>
                <c:pt idx="185">
                  <c:v>87446.207637003507</c:v>
                </c:pt>
                <c:pt idx="186">
                  <c:v>92993.606974334747</c:v>
                </c:pt>
                <c:pt idx="187">
                  <c:v>98892.921394542427</c:v>
                </c:pt>
                <c:pt idx="188">
                  <c:v>105166.47563360249</c:v>
                </c:pt>
                <c:pt idx="189">
                  <c:v>111838.01066072512</c:v>
                </c:pt>
                <c:pt idx="190">
                  <c:v>118932.77352114675</c:v>
                </c:pt>
                <c:pt idx="191">
                  <c:v>126477.61287835392</c:v>
                </c:pt>
                <c:pt idx="192">
                  <c:v>134501.0806172993</c:v>
                </c:pt>
                <c:pt idx="193">
                  <c:v>143033.53989310883</c:v>
                </c:pt>
                <c:pt idx="194">
                  <c:v>152107.28003416685</c:v>
                </c:pt>
                <c:pt idx="195">
                  <c:v>161756.63873440344</c:v>
                </c:pt>
                <c:pt idx="196">
                  <c:v>172018.13199719929</c:v>
                </c:pt>
                <c:pt idx="197">
                  <c:v>182930.59232265301</c:v>
                </c:pt>
                <c:pt idx="198">
                  <c:v>194535.31566115122</c:v>
                </c:pt>
                <c:pt idx="199">
                  <c:v>206876.21768935499</c:v>
                </c:pt>
                <c:pt idx="200">
                  <c:v>219999.99999999985</c:v>
                </c:pt>
              </c:numCache>
            </c:numRef>
          </c:xVal>
          <c:yVal>
            <c:numRef>
              <c:f>'Design tool'!$AQ$2:$AQ$202</c:f>
              <c:numCache>
                <c:formatCode>General</c:formatCode>
                <c:ptCount val="201"/>
                <c:pt idx="0">
                  <c:v>178.51657419632289</c:v>
                </c:pt>
                <c:pt idx="1">
                  <c:v>178.42251574271026</c:v>
                </c:pt>
                <c:pt idx="2">
                  <c:v>178.32249991835891</c:v>
                </c:pt>
                <c:pt idx="3">
                  <c:v>178.21615072232012</c:v>
                </c:pt>
                <c:pt idx="4">
                  <c:v>178.10306868957142</c:v>
                </c:pt>
                <c:pt idx="5">
                  <c:v>177.98282948095923</c:v>
                </c:pt>
                <c:pt idx="6">
                  <c:v>177.85498239948154</c:v>
                </c:pt>
                <c:pt idx="7">
                  <c:v>177.71904883139956</c:v>
                </c:pt>
                <c:pt idx="8">
                  <c:v>177.57452061119807</c:v>
                </c:pt>
                <c:pt idx="9">
                  <c:v>177.42085831010178</c:v>
                </c:pt>
                <c:pt idx="10">
                  <c:v>177.25748944873015</c:v>
                </c:pt>
                <c:pt idx="11">
                  <c:v>177.08380663557662</c:v>
                </c:pt>
                <c:pt idx="12">
                  <c:v>176.89916563437663</c:v>
                </c:pt>
                <c:pt idx="13">
                  <c:v>176.70288336513357</c:v>
                </c:pt>
                <c:pt idx="14">
                  <c:v>176.4942358456712</c:v>
                </c:pt>
                <c:pt idx="15">
                  <c:v>176.27245608314527</c:v>
                </c:pt>
                <c:pt idx="16">
                  <c:v>176.03673192806741</c:v>
                </c:pt>
                <c:pt idx="17">
                  <c:v>175.78620390716603</c:v>
                </c:pt>
                <c:pt idx="18">
                  <c:v>175.51996305595227</c:v>
                </c:pt>
                <c:pt idx="19">
                  <c:v>175.23704877729955</c:v>
                </c:pt>
                <c:pt idx="20">
                  <c:v>174.93644675883519</c:v>
                </c:pt>
                <c:pt idx="21">
                  <c:v>174.61708698963992</c:v>
                </c:pt>
                <c:pt idx="22">
                  <c:v>174.2778419258384</c:v>
                </c:pt>
                <c:pt idx="23">
                  <c:v>173.91752486532991</c:v>
                </c:pt>
                <c:pt idx="24">
                  <c:v>173.53488860434868</c:v>
                </c:pt>
                <c:pt idx="25">
                  <c:v>173.12862446296012</c:v>
                </c:pt>
                <c:pt idx="26">
                  <c:v>172.69736178316495</c:v>
                </c:pt>
                <c:pt idx="27">
                  <c:v>172.23966802216026</c:v>
                </c:pt>
                <c:pt idx="28">
                  <c:v>171.75404958457457</c:v>
                </c:pt>
                <c:pt idx="29">
                  <c:v>171.23895356116009</c:v>
                </c:pt>
                <c:pt idx="30">
                  <c:v>170.69277056734268</c:v>
                </c:pt>
                <c:pt idx="31">
                  <c:v>170.11383890285427</c:v>
                </c:pt>
                <c:pt idx="32">
                  <c:v>169.50045028278271</c:v>
                </c:pt>
                <c:pt idx="33">
                  <c:v>168.85085741976982</c:v>
                </c:pt>
                <c:pt idx="34">
                  <c:v>168.16328376529009</c:v>
                </c:pt>
                <c:pt idx="35">
                  <c:v>167.43593574285234</c:v>
                </c:pt>
                <c:pt idx="36">
                  <c:v>166.66701782474144</c:v>
                </c:pt>
                <c:pt idx="37">
                  <c:v>165.8547508128409</c:v>
                </c:pt>
                <c:pt idx="38">
                  <c:v>164.9973936784408</c:v>
                </c:pt>
                <c:pt idx="39">
                  <c:v>164.09326929001253</c:v>
                </c:pt>
                <c:pt idx="40">
                  <c:v>163.14079430501582</c:v>
                </c:pt>
                <c:pt idx="41">
                  <c:v>162.13851341443223</c:v>
                </c:pt>
                <c:pt idx="42">
                  <c:v>161.08513799911236</c:v>
                </c:pt>
                <c:pt idx="43">
                  <c:v>159.97958907785676</c:v>
                </c:pt>
                <c:pt idx="44">
                  <c:v>158.82104419263089</c:v>
                </c:pt>
                <c:pt idx="45">
                  <c:v>157.6089875837653</c:v>
                </c:pt>
                <c:pt idx="46">
                  <c:v>156.34326265971035</c:v>
                </c:pt>
                <c:pt idx="47">
                  <c:v>155.02412537133733</c:v>
                </c:pt>
                <c:pt idx="48">
                  <c:v>153.65229667860959</c:v>
                </c:pt>
                <c:pt idx="49">
                  <c:v>152.22901187727754</c:v>
                </c:pt>
                <c:pt idx="50">
                  <c:v>150.75606417611681</c:v>
                </c:pt>
                <c:pt idx="51">
                  <c:v>149.23583963236078</c:v>
                </c:pt>
                <c:pt idx="52">
                  <c:v>147.67134042211367</c:v>
                </c:pt>
                <c:pt idx="53">
                  <c:v>146.06619350125078</c:v>
                </c:pt>
                <c:pt idx="54">
                  <c:v>144.42464204899321</c:v>
                </c:pt>
                <c:pt idx="55">
                  <c:v>142.75151770889556</c:v>
                </c:pt>
                <c:pt idx="56">
                  <c:v>141.05219254734556</c:v>
                </c:pt>
                <c:pt idx="57">
                  <c:v>139.33251079544812</c:v>
                </c:pt>
                <c:pt idx="58">
                  <c:v>137.59870174234649</c:v>
                </c:pt>
                <c:pt idx="59">
                  <c:v>135.8572764861504</c:v>
                </c:pt>
                <c:pt idx="60">
                  <c:v>134.11491247959418</c:v>
                </c:pt>
                <c:pt idx="61">
                  <c:v>132.37833078630518</c:v>
                </c:pt>
                <c:pt idx="62">
                  <c:v>130.65417156718632</c:v>
                </c:pt>
                <c:pt idx="63">
                  <c:v>128.94887346611884</c:v>
                </c:pt>
                <c:pt idx="64">
                  <c:v>127.26856224006079</c:v>
                </c:pt>
                <c:pt idx="65">
                  <c:v>125.61895322360056</c:v>
                </c:pt>
                <c:pt idx="66">
                  <c:v>124.00527112949109</c:v>
                </c:pt>
                <c:pt idx="67">
                  <c:v>122.43218939864707</c:v>
                </c:pt>
                <c:pt idx="68">
                  <c:v>120.90378997257393</c:v>
                </c:pt>
                <c:pt idx="69">
                  <c:v>119.42354310496553</c:v>
                </c:pt>
                <c:pt idx="70">
                  <c:v>117.99430576538376</c:v>
                </c:pt>
                <c:pt idx="71">
                  <c:v>116.61833638517581</c:v>
                </c:pt>
                <c:pt idx="72">
                  <c:v>115.29732318119864</c:v>
                </c:pt>
                <c:pt idx="73">
                  <c:v>114.03242305694631</c:v>
                </c:pt>
                <c:pt idx="74">
                  <c:v>112.8243080863938</c:v>
                </c:pt>
                <c:pt idx="75">
                  <c:v>111.67321678032943</c:v>
                </c:pt>
                <c:pt idx="76">
                  <c:v>110.57900765951054</c:v>
                </c:pt>
                <c:pt idx="77">
                  <c:v>109.54121305772998</c:v>
                </c:pt>
                <c:pt idx="78">
                  <c:v>108.55909150310887</c:v>
                </c:pt>
                <c:pt idx="79">
                  <c:v>107.63167744078788</c:v>
                </c:pt>
                <c:pt idx="80">
                  <c:v>106.75782743930773</c:v>
                </c:pt>
                <c:pt idx="81">
                  <c:v>105.93626235128581</c:v>
                </c:pt>
                <c:pt idx="82">
                  <c:v>105.16560517000454</c:v>
                </c:pt>
                <c:pt idx="83">
                  <c:v>104.44441453701185</c:v>
                </c:pt>
                <c:pt idx="84">
                  <c:v>103.77121401582785</c:v>
                </c:pt>
                <c:pt idx="85">
                  <c:v>103.14451735987748</c:v>
                </c:pt>
                <c:pt idx="86">
                  <c:v>102.56285007640815</c:v>
                </c:pt>
                <c:pt idx="87">
                  <c:v>102.0247676301515</c:v>
                </c:pt>
                <c:pt idx="88">
                  <c:v>101.52887064802674</c:v>
                </c:pt>
                <c:pt idx="89">
                  <c:v>101.07381748564076</c:v>
                </c:pt>
                <c:pt idx="90">
                  <c:v>100.65833450301872</c:v>
                </c:pt>
                <c:pt idx="91">
                  <c:v>100.28122437523646</c:v>
                </c:pt>
                <c:pt idx="92">
                  <c:v>99.941372736756776</c:v>
                </c:pt>
                <c:pt idx="93">
                  <c:v>99.637753428843752</c:v>
                </c:pt>
                <c:pt idx="94">
                  <c:v>99.369432589246372</c:v>
                </c:pt>
                <c:pt idx="95">
                  <c:v>99.135571793666372</c:v>
                </c:pt>
                <c:pt idx="96">
                  <c:v>98.935430430162256</c:v>
                </c:pt>
                <c:pt idx="97">
                  <c:v>98.768367461042786</c:v>
                </c:pt>
                <c:pt idx="98">
                  <c:v>98.633842702184836</c:v>
                </c:pt>
                <c:pt idx="99">
                  <c:v>98.531417727075521</c:v>
                </c:pt>
                <c:pt idx="100">
                  <c:v>98.460756482121695</c:v>
                </c:pt>
                <c:pt idx="101">
                  <c:v>98.421625680674197</c:v>
                </c:pt>
                <c:pt idx="102">
                  <c:v>98.413895025514606</c:v>
                </c:pt>
                <c:pt idx="103">
                  <c:v>98.437537292936398</c:v>
                </c:pt>
                <c:pt idx="104">
                  <c:v>98.492628295686032</c:v>
                </c:pt>
                <c:pt idx="105">
                  <c:v>98.579346726564353</c:v>
                </c:pt>
                <c:pt idx="106">
                  <c:v>98.697973869069472</c:v>
                </c:pt>
                <c:pt idx="107">
                  <c:v>98.848893145732347</c:v>
                </c:pt>
                <c:pt idx="108">
                  <c:v>99.032589458403024</c:v>
                </c:pt>
                <c:pt idx="109">
                  <c:v>99.249648257355602</c:v>
                </c:pt>
                <c:pt idx="110">
                  <c:v>99.500754257368143</c:v>
                </c:pt>
                <c:pt idx="111">
                  <c:v>99.786689698620123</c:v>
                </c:pt>
                <c:pt idx="112">
                  <c:v>100.10833202811432</c:v>
                </c:pt>
                <c:pt idx="113">
                  <c:v>100.46665085321574</c:v>
                </c:pt>
                <c:pt idx="114">
                  <c:v>100.86270399279572</c:v>
                </c:pt>
                <c:pt idx="115">
                  <c:v>101.29763242351427</c:v>
                </c:pt>
                <c:pt idx="116">
                  <c:v>101.77265388936218</c:v>
                </c:pt>
                <c:pt idx="117">
                  <c:v>102.28905491241787</c:v>
                </c:pt>
                <c:pt idx="118">
                  <c:v>102.84818091297198</c:v>
                </c:pt>
                <c:pt idx="119">
                  <c:v>103.45142411941154</c:v>
                </c:pt>
                <c:pt idx="120">
                  <c:v>104.10020892485169</c:v>
                </c:pt>
                <c:pt idx="121">
                  <c:v>104.79597433158885</c:v>
                </c:pt>
                <c:pt idx="122">
                  <c:v>105.54015312008623</c:v>
                </c:pt>
                <c:pt idx="123">
                  <c:v>106.33414739143979</c:v>
                </c:pt>
                <c:pt idx="124">
                  <c:v>107.17930016722451</c:v>
                </c:pt>
                <c:pt idx="125">
                  <c:v>108.07686279526823</c:v>
                </c:pt>
                <c:pt idx="126">
                  <c:v>109.02795801190653</c:v>
                </c:pt>
                <c:pt idx="127">
                  <c:v>110.0335386583273</c:v>
                </c:pt>
                <c:pt idx="128">
                  <c:v>111.09434224763876</c:v>
                </c:pt>
                <c:pt idx="129">
                  <c:v>112.21084183512492</c:v>
                </c:pt>
                <c:pt idx="130">
                  <c:v>113.38319395785982</c:v>
                </c:pt>
                <c:pt idx="131">
                  <c:v>114.61118477678068</c:v>
                </c:pt>
                <c:pt idx="132">
                  <c:v>115.89417596183551</c:v>
                </c:pt>
                <c:pt idx="133">
                  <c:v>117.23105228636167</c:v>
                </c:pt>
                <c:pt idx="134">
                  <c:v>118.62017330660859</c:v>
                </c:pt>
                <c:pt idx="135">
                  <c:v>120.0593318512035</c:v>
                </c:pt>
                <c:pt idx="136">
                  <c:v>121.54572227921366</c:v>
                </c:pt>
                <c:pt idx="137">
                  <c:v>123.07592152564958</c:v>
                </c:pt>
                <c:pt idx="138">
                  <c:v>124.64588578439339</c:v>
                </c:pt>
                <c:pt idx="139">
                  <c:v>126.25096523848826</c:v>
                </c:pt>
                <c:pt idx="140">
                  <c:v>127.8859385187841</c:v>
                </c:pt>
                <c:pt idx="141">
                  <c:v>129.5450675709433</c:v>
                </c:pt>
                <c:pt idx="142">
                  <c:v>131.22217239559052</c:v>
                </c:pt>
                <c:pt idx="143">
                  <c:v>132.91072379540424</c:v>
                </c:pt>
                <c:pt idx="144">
                  <c:v>134.60395094707482</c:v>
                </c:pt>
                <c:pt idx="145">
                  <c:v>136.29495946172952</c:v>
                </c:pt>
                <c:pt idx="146">
                  <c:v>137.97685474443389</c:v>
                </c:pt>
                <c:pt idx="147">
                  <c:v>139.64286502061211</c:v>
                </c:pt>
                <c:pt idx="148">
                  <c:v>141.28645842305667</c:v>
                </c:pt>
                <c:pt idx="149">
                  <c:v>142.90144902417282</c:v>
                </c:pt>
                <c:pt idx="150">
                  <c:v>144.4820875896564</c:v>
                </c:pt>
                <c:pt idx="151">
                  <c:v>146.02313400866089</c:v>
                </c:pt>
                <c:pt idx="152">
                  <c:v>147.51990967993373</c:v>
                </c:pt>
                <c:pt idx="153">
                  <c:v>148.96832945770927</c:v>
                </c:pt>
                <c:pt idx="154">
                  <c:v>150.36491395722641</c:v>
                </c:pt>
                <c:pt idx="155">
                  <c:v>151.7067839933629</c:v>
                </c:pt>
                <c:pt idx="156">
                  <c:v>152.99163962373046</c:v>
                </c:pt>
                <c:pt idx="157">
                  <c:v>154.21772667700412</c:v>
                </c:pt>
                <c:pt idx="158">
                  <c:v>155.38379378914212</c:v>
                </c:pt>
                <c:pt idx="159">
                  <c:v>156.48904288859927</c:v>
                </c:pt>
                <c:pt idx="160">
                  <c:v>157.53307582287911</c:v>
                </c:pt>
                <c:pt idx="161">
                  <c:v>158.51583946126001</c:v>
                </c:pt>
                <c:pt idx="162">
                  <c:v>159.43757119565709</c:v>
                </c:pt>
                <c:pt idx="163">
                  <c:v>160.29874633731581</c:v>
                </c:pt>
                <c:pt idx="164">
                  <c:v>161.10002850393005</c:v>
                </c:pt>
                <c:pt idx="165">
                  <c:v>161.84222373131001</c:v>
                </c:pt>
                <c:pt idx="166">
                  <c:v>162.52623873759549</c:v>
                </c:pt>
                <c:pt idx="167">
                  <c:v>163.15304352018737</c:v>
                </c:pt>
                <c:pt idx="168">
                  <c:v>163.72363827456653</c:v>
                </c:pt>
                <c:pt idx="169">
                  <c:v>164.23902448489099</c:v>
                </c:pt>
                <c:pt idx="170">
                  <c:v>164.70017994176013</c:v>
                </c:pt>
                <c:pt idx="171">
                  <c:v>165.108037385149</c:v>
                </c:pt>
                <c:pt idx="172">
                  <c:v>165.46346644276969</c:v>
                </c:pt>
                <c:pt idx="173">
                  <c:v>165.7672585292074</c:v>
                </c:pt>
                <c:pt idx="174">
                  <c:v>166.02011438325937</c:v>
                </c:pt>
                <c:pt idx="175">
                  <c:v>166.22263394516287</c:v>
                </c:pt>
                <c:pt idx="176">
                  <c:v>166.37530830805687</c:v>
                </c:pt>
                <c:pt idx="177">
                  <c:v>166.47851351619886</c:v>
                </c:pt>
                <c:pt idx="178">
                  <c:v>166.53250602408258</c:v>
                </c:pt>
                <c:pt idx="179">
                  <c:v>166.53741967423815</c:v>
                </c:pt>
                <c:pt idx="180">
                  <c:v>166.49326409621756</c:v>
                </c:pt>
                <c:pt idx="181">
                  <c:v>166.39992447450726</c:v>
                </c:pt>
                <c:pt idx="182">
                  <c:v>166.25716267856848</c:v>
                </c:pt>
                <c:pt idx="183">
                  <c:v>166.06461979367486</c:v>
                </c:pt>
                <c:pt idx="184">
                  <c:v>165.82182013654997</c:v>
                </c:pt>
                <c:pt idx="185">
                  <c:v>165.52817688472101</c:v>
                </c:pt>
                <c:pt idx="186">
                  <c:v>165.1829994925339</c:v>
                </c:pt>
                <c:pt idx="187">
                  <c:v>164.78550310910839</c:v>
                </c:pt>
                <c:pt idx="188">
                  <c:v>164.33482025288092</c:v>
                </c:pt>
                <c:pt idx="189">
                  <c:v>163.83001503191596</c:v>
                </c:pt>
                <c:pt idx="190">
                  <c:v>163.27010022623062</c:v>
                </c:pt>
                <c:pt idx="191">
                  <c:v>162.65405756447936</c:v>
                </c:pt>
                <c:pt idx="192">
                  <c:v>161.98086152797896</c:v>
                </c:pt>
                <c:pt idx="193">
                  <c:v>161.24950699466086</c:v>
                </c:pt>
                <c:pt idx="194">
                  <c:v>160.45904098760656</c:v>
                </c:pt>
                <c:pt idx="195">
                  <c:v>159.60859870999755</c:v>
                </c:pt>
                <c:pt idx="196">
                  <c:v>158.69744392294362</c:v>
                </c:pt>
                <c:pt idx="197">
                  <c:v>157.72501354745629</c:v>
                </c:pt>
                <c:pt idx="198">
                  <c:v>156.6909661410379</c:v>
                </c:pt>
                <c:pt idx="199">
                  <c:v>155.59523361019399</c:v>
                </c:pt>
                <c:pt idx="200">
                  <c:v>154.43807517482634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471744"/>
        <c:axId val="61756160"/>
      </c:scatterChart>
      <c:valAx>
        <c:axId val="61471744"/>
        <c:scaling>
          <c:logBase val="10"/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 (Hz)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1756160"/>
        <c:crosses val="autoZero"/>
        <c:crossBetween val="midCat"/>
      </c:valAx>
      <c:valAx>
        <c:axId val="617561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Phase (°)</a:t>
                </a:r>
              </a:p>
            </c:rich>
          </c:tx>
          <c:layout>
            <c:manualLayout>
              <c:xMode val="edge"/>
              <c:yMode val="edge"/>
              <c:x val="1.9703911010756695E-4"/>
              <c:y val="0.4496830187006750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147174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|Verr / Vout| (Compensator)</a:t>
            </a:r>
          </a:p>
        </c:rich>
      </c:tx>
      <c:layout>
        <c:manualLayout>
          <c:xMode val="edge"/>
          <c:yMode val="edge"/>
          <c:x val="0.23478889435194419"/>
          <c:y val="9.49421862807689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76933299042585"/>
          <c:y val="0.14376014636628506"/>
          <c:w val="0.71896987774062171"/>
          <c:h val="0.68947028910838004"/>
        </c:manualLayout>
      </c:layout>
      <c:scatterChart>
        <c:scatterStyle val="smoothMarker"/>
        <c:varyColors val="0"/>
        <c:ser>
          <c:idx val="0"/>
          <c:order val="0"/>
          <c:tx>
            <c:v>db</c:v>
          </c:tx>
          <c:marker>
            <c:symbol val="none"/>
          </c:marker>
          <c:xVal>
            <c:numRef>
              <c:f>'Design tool'!$Z$2:$Z$202</c:f>
              <c:numCache>
                <c:formatCode>General</c:formatCode>
                <c:ptCount val="201"/>
                <c:pt idx="0">
                  <c:v>1</c:v>
                </c:pt>
                <c:pt idx="1">
                  <c:v>1.0634378492473788</c:v>
                </c:pt>
                <c:pt idx="2">
                  <c:v>1.1309000592118907</c:v>
                </c:pt>
                <c:pt idx="3">
                  <c:v>1.2026419266820265</c:v>
                </c:pt>
                <c:pt idx="4">
                  <c:v>1.278934943925458</c:v>
                </c:pt>
                <c:pt idx="5">
                  <c:v>1.3600678260954062</c:v>
                </c:pt>
                <c:pt idx="6">
                  <c:v>1.4463476038134566</c:v>
                </c:pt>
                <c:pt idx="7">
                  <c:v>1.5381007850634825</c:v>
                </c:pt>
                <c:pt idx="8">
                  <c:v>1.6356745907936145</c:v>
                </c:pt>
                <c:pt idx="9">
                  <c:v>1.7394382689021479</c:v>
                </c:pt>
                <c:pt idx="10">
                  <c:v>1.849784491579884</c:v>
                </c:pt>
                <c:pt idx="11">
                  <c:v>1.967130841296868</c:v>
                </c:pt>
                <c:pt idx="12">
                  <c:v>2.0919213910569279</c:v>
                </c:pt>
                <c:pt idx="13">
                  <c:v>2.2246283849001642</c:v>
                </c:pt>
                <c:pt idx="14">
                  <c:v>2.365754025012901</c:v>
                </c:pt>
                <c:pt idx="15">
                  <c:v>2.5158323722080485</c:v>
                </c:pt>
                <c:pt idx="16">
                  <c:v>2.6754313669678584</c:v>
                </c:pt>
                <c:pt idx="17">
                  <c:v>2.8451549786972743</c:v>
                </c:pt>
                <c:pt idx="18">
                  <c:v>3.0256454913213009</c:v>
                </c:pt>
                <c:pt idx="19">
                  <c:v>3.2175859338757533</c:v>
                </c:pt>
                <c:pt idx="20">
                  <c:v>3.42170266528945</c:v>
                </c:pt>
                <c:pt idx="21">
                  <c:v>3.6387681231394358</c:v>
                </c:pt>
                <c:pt idx="22">
                  <c:v>3.8696037467813236</c:v>
                </c:pt>
                <c:pt idx="23">
                  <c:v>4.1150830859167291</c:v>
                </c:pt>
                <c:pt idx="24">
                  <c:v>4.376135106361553</c:v>
                </c:pt>
                <c:pt idx="25">
                  <c:v>4.6537477055250784</c:v>
                </c:pt>
                <c:pt idx="26">
                  <c:v>4.9489714509035139</c:v>
                </c:pt>
                <c:pt idx="27">
                  <c:v>5.2629235557355134</c:v>
                </c:pt>
                <c:pt idx="28">
                  <c:v>5.5967921068647417</c:v>
                </c:pt>
                <c:pt idx="29">
                  <c:v>5.9518405608089449</c:v>
                </c:pt>
                <c:pt idx="30">
                  <c:v>6.3294125250499764</c:v>
                </c:pt>
                <c:pt idx="31">
                  <c:v>6.7309368426385694</c:v>
                </c:pt>
                <c:pt idx="32">
                  <c:v>7.1579329993555039</c:v>
                </c:pt>
                <c:pt idx="33">
                  <c:v>7.6120168738914558</c:v>
                </c:pt>
                <c:pt idx="34">
                  <c:v>8.0949068528058863</c:v>
                </c:pt>
                <c:pt idx="35">
                  <c:v>8.6084303334057619</c:v>
                </c:pt>
                <c:pt idx="36">
                  <c:v>9.1545306391529166</c:v>
                </c:pt>
                <c:pt idx="37">
                  <c:v>9.7352743737700074</c:v>
                </c:pt>
                <c:pt idx="38">
                  <c:v>10.352859241875105</c:v>
                </c:pt>
                <c:pt idx="39">
                  <c:v>11.009622365740512</c:v>
                </c:pt>
                <c:pt idx="40">
                  <c:v>11.708049129648925</c:v>
                </c:pt>
                <c:pt idx="41">
                  <c:v>12.4507825853165</c:v>
                </c:pt>
                <c:pt idx="42">
                  <c:v>13.240633453975693</c:v>
                </c:pt>
                <c:pt idx="43">
                  <c:v>14.080590762968805</c:v>
                </c:pt>
                <c:pt idx="44">
                  <c:v>14.973833157104059</c:v>
                </c:pt>
                <c:pt idx="45">
                  <c:v>15.923740927579823</c:v>
                </c:pt>
                <c:pt idx="46">
                  <c:v>16.933908803997952</c:v>
                </c:pt>
                <c:pt idx="47">
                  <c:v>18.008159557874837</c:v>
                </c:pt>
                <c:pt idx="48">
                  <c:v>19.150558469130036</c:v>
                </c:pt>
                <c:pt idx="49">
                  <c:v>20.365428710297824</c:v>
                </c:pt>
                <c:pt idx="50">
                  <c:v>21.657367706679931</c:v>
                </c:pt>
                <c:pt idx="51">
                  <c:v>23.031264534351347</c:v>
                </c:pt>
                <c:pt idx="52">
                  <c:v>24.492318421858034</c:v>
                </c:pt>
                <c:pt idx="53">
                  <c:v>26.046058425622668</c:v>
                </c:pt>
                <c:pt idx="54">
                  <c:v>27.698364353515743</c:v>
                </c:pt>
                <c:pt idx="55">
                  <c:v>29.45548901577305</c:v>
                </c:pt>
                <c:pt idx="56">
                  <c:v>31.324081887463471</c:v>
                </c:pt>
                <c:pt idx="57">
                  <c:v>33.311214272052936</c:v>
                </c:pt>
                <c:pt idx="58">
                  <c:v>35.424406061290533</c:v>
                </c:pt>
                <c:pt idx="59">
                  <c:v>37.67165419268462</c:v>
                </c:pt>
                <c:pt idx="60">
                  <c:v>40.061462912259522</c:v>
                </c:pt>
                <c:pt idx="61">
                  <c:v>42.602875957116908</c:v>
                </c:pt>
                <c:pt idx="62">
                  <c:v>45.305510779589277</c:v>
                </c:pt>
                <c:pt idx="63">
                  <c:v>48.179594942500358</c:v>
                </c:pt>
                <c:pt idx="64">
                  <c:v>51.236004823262483</c:v>
                </c:pt>
                <c:pt idx="65">
                  <c:v>54.486306773278585</c:v>
                </c:pt>
                <c:pt idx="66">
                  <c:v>57.94280088840825</c:v>
                </c:pt>
                <c:pt idx="67">
                  <c:v>61.61856755613799</c:v>
                </c:pt>
                <c:pt idx="68">
                  <c:v>65.527516955603716</c:v>
                </c:pt>
                <c:pt idx="69">
                  <c:v>69.684441697788372</c:v>
                </c:pt>
                <c:pt idx="70">
                  <c:v>74.105072805100434</c:v>
                </c:pt>
                <c:pt idx="71">
                  <c:v>78.806139242176371</c:v>
                </c:pt>
                <c:pt idx="72">
                  <c:v>83.805431223189501</c:v>
                </c:pt>
                <c:pt idx="73">
                  <c:v>89.121867535237712</c:v>
                </c:pt>
                <c:pt idx="74">
                  <c:v>94.775567132582992</c:v>
                </c:pt>
                <c:pt idx="75">
                  <c:v>100.78792527267464</c:v>
                </c:pt>
                <c:pt idx="76">
                  <c:v>107.18169448207877</c:v>
                </c:pt>
                <c:pt idx="77">
                  <c:v>113.98107065871142</c:v>
                </c:pt>
                <c:pt idx="78">
                  <c:v>121.21178463621371</c:v>
                </c:pt>
                <c:pt idx="79">
                  <c:v>128.90119955697148</c:v>
                </c:pt>
                <c:pt idx="80">
                  <c:v>137.07841442227294</c:v>
                </c:pt>
                <c:pt idx="81">
                  <c:v>145.77437421146283</c:v>
                </c:pt>
                <c:pt idx="82">
                  <c:v>155.02198698682062</c:v>
                </c:pt>
                <c:pt idx="83">
                  <c:v>164.85624842731968</c:v>
                </c:pt>
                <c:pt idx="84">
                  <c:v>175.3143742625403</c:v>
                </c:pt>
                <c:pt idx="85">
                  <c:v>186.43594110790573</c:v>
                </c:pt>
                <c:pt idx="86">
                  <c:v>198.26303623420247</c:v>
                </c:pt>
                <c:pt idx="87">
                  <c:v>210.84041683815525</c:v>
                </c:pt>
                <c:pt idx="88">
                  <c:v>224.21567941678887</c:v>
                </c:pt>
                <c:pt idx="89">
                  <c:v>238.43943988652958</c:v>
                </c:pt>
                <c:pt idx="90">
                  <c:v>253.56552512868072</c:v>
                </c:pt>
                <c:pt idx="91">
                  <c:v>269.65117668612646</c:v>
                </c:pt>
                <c:pt idx="92">
                  <c:v>286.75726738211927</c:v>
                </c:pt>
                <c:pt idx="93">
                  <c:v>304.94853168089651</c:v>
                </c:pt>
                <c:pt idx="94">
                  <c:v>324.29381066187881</c:v>
                </c:pt>
                <c:pt idx="95">
                  <c:v>344.8663125345048</c:v>
                </c:pt>
                <c:pt idx="96">
                  <c:v>366.74388967956821</c:v>
                </c:pt>
                <c:pt idx="97">
                  <c:v>390.00933326545766</c:v>
                </c:pt>
                <c:pt idx="98">
                  <c:v>414.75068655422291</c:v>
                </c:pt>
                <c:pt idx="99">
                  <c:v>441.06157808309626</c:v>
                </c:pt>
                <c:pt idx="100">
                  <c:v>469.04157598234281</c:v>
                </c:pt>
                <c:pt idx="101">
                  <c:v>498.79656477026373</c:v>
                </c:pt>
                <c:pt idx="102">
                  <c:v>530.4391460512702</c:v>
                </c:pt>
                <c:pt idx="103">
                  <c:v>564.08906463337905</c:v>
                </c:pt>
                <c:pt idx="104">
                  <c:v>599.87366167768641</c:v>
                </c:pt>
                <c:pt idx="105">
                  <c:v>637.92835659466812</c:v>
                </c:pt>
                <c:pt idx="106">
                  <c:v>678.39715951094945</c:v>
                </c:pt>
                <c:pt idx="107">
                  <c:v>721.43321624585462</c:v>
                </c:pt>
                <c:pt idx="108">
                  <c:v>767.19938786011153</c:v>
                </c:pt>
                <c:pt idx="109">
                  <c:v>815.86886696986198</c:v>
                </c:pt>
                <c:pt idx="110">
                  <c:v>867.62583315832671</c:v>
                </c:pt>
                <c:pt idx="111">
                  <c:v>922.66614996535543</c:v>
                </c:pt>
                <c:pt idx="112">
                  <c:v>981.19810609251715</c:v>
                </c:pt>
                <c:pt idx="113">
                  <c:v>1043.443203628628</c:v>
                </c:pt>
                <c:pt idx="114">
                  <c:v>1109.6369962786232</c:v>
                </c:pt>
                <c:pt idx="115">
                  <c:v>1180.0299807678607</c:v>
                </c:pt>
                <c:pt idx="116">
                  <c:v>1254.8885447951977</c:v>
                </c:pt>
                <c:pt idx="117">
                  <c:v>1334.4959751221782</c:v>
                </c:pt>
                <c:pt idx="118">
                  <c:v>1419.1535296132129</c:v>
                </c:pt>
                <c:pt idx="119">
                  <c:v>1509.1815772837017</c:v>
                </c:pt>
                <c:pt idx="120">
                  <c:v>1604.9208106703452</c:v>
                </c:pt>
                <c:pt idx="121">
                  <c:v>1706.7335351116335</c:v>
                </c:pt>
                <c:pt idx="122">
                  <c:v>1815.0050398174897</c:v>
                </c:pt>
                <c:pt idx="123">
                  <c:v>1930.1450559166665</c:v>
                </c:pt>
                <c:pt idx="124">
                  <c:v>2052.58930699948</c:v>
                </c:pt>
                <c:pt idx="125">
                  <c:v>2182.8011580236971</c:v>
                </c:pt>
                <c:pt idx="126">
                  <c:v>2321.2733688234066</c:v>
                </c:pt>
                <c:pt idx="127">
                  <c:v>2468.5299588567814</c:v>
                </c:pt>
                <c:pt idx="128">
                  <c:v>2625.1281902493761</c:v>
                </c:pt>
                <c:pt idx="129">
                  <c:v>2791.6606766374607</c:v>
                </c:pt>
                <c:pt idx="130">
                  <c:v>2968.757625791824</c:v>
                </c:pt>
                <c:pt idx="131">
                  <c:v>3157.0892245088098</c:v>
                </c:pt>
                <c:pt idx="132">
                  <c:v>3357.3681747937244</c:v>
                </c:pt>
                <c:pt idx="133">
                  <c:v>3570.3523909342362</c:v>
                </c:pt>
                <c:pt idx="134">
                  <c:v>3796.8478676703417</c:v>
                </c:pt>
                <c:pt idx="135">
                  <c:v>4037.7117303148448</c:v>
                </c:pt>
                <c:pt idx="136">
                  <c:v>4293.8554783669315</c:v>
                </c:pt>
                <c:pt idx="137">
                  <c:v>4566.248434893605</c:v>
                </c:pt>
                <c:pt idx="138">
                  <c:v>4855.9214147324665</c:v>
                </c:pt>
                <c:pt idx="139">
                  <c:v>5163.9706253973836</c:v>
                </c:pt>
                <c:pt idx="140">
                  <c:v>5491.5618154492358</c:v>
                </c:pt>
                <c:pt idx="141">
                  <c:v>5839.9346860303567</c:v>
                </c:pt>
                <c:pt idx="142">
                  <c:v>6210.4075822572904</c:v>
                </c:pt>
                <c:pt idx="143">
                  <c:v>6604.3824822253073</c:v>
                </c:pt>
                <c:pt idx="144">
                  <c:v>7023.3503025047467</c:v>
                </c:pt>
                <c:pt idx="145">
                  <c:v>7468.8965402065769</c:v>
                </c:pt>
                <c:pt idx="146">
                  <c:v>7942.7072729684578</c:v>
                </c:pt>
                <c:pt idx="147">
                  <c:v>8446.5755395671058</c:v>
                </c:pt>
                <c:pt idx="148">
                  <c:v>8982.4081253027471</c:v>
                </c:pt>
                <c:pt idx="149">
                  <c:v>9552.2327778341514</c:v>
                </c:pt>
                <c:pt idx="150">
                  <c:v>10158.205880770249</c:v>
                </c:pt>
                <c:pt idx="151">
                  <c:v>10802.620614058389</c:v>
                </c:pt>
                <c:pt idx="152">
                  <c:v>11487.915632049675</c:v>
                </c:pt>
                <c:pt idx="153">
                  <c:v>12216.684292082227</c:v>
                </c:pt>
                <c:pt idx="154">
                  <c:v>12991.684468506162</c:v>
                </c:pt>
                <c:pt idx="155">
                  <c:v>13815.848989288772</c:v>
                </c:pt>
                <c:pt idx="156">
                  <c:v>14692.296734695852</c:v>
                </c:pt>
                <c:pt idx="157">
                  <c:v>15624.344440049217</c:v>
                </c:pt>
                <c:pt idx="158">
                  <c:v>16615.519247226184</c:v>
                </c:pt>
                <c:pt idx="159">
                  <c:v>17669.572052398642</c:v>
                </c:pt>
                <c:pt idx="160">
                  <c:v>18790.49170052441</c:v>
                </c:pt>
                <c:pt idx="161">
                  <c:v>19982.5200803064</c:v>
                </c:pt>
                <c:pt idx="162">
                  <c:v>21250.168176743602</c:v>
                </c:pt>
                <c:pt idx="163">
                  <c:v>22598.233142021272</c:v>
                </c:pt>
                <c:pt idx="164">
                  <c:v>24031.816449341983</c:v>
                </c:pt>
                <c:pt idx="165">
                  <c:v>25556.343198396022</c:v>
                </c:pt>
                <c:pt idx="166">
                  <c:v>27177.582645530147</c:v>
                </c:pt>
                <c:pt idx="167">
                  <c:v>28901.670036305419</c:v>
                </c:pt>
                <c:pt idx="168">
                  <c:v>30735.129823066054</c:v>
                </c:pt>
                <c:pt idx="169">
                  <c:v>32684.900355380338</c:v>
                </c:pt>
                <c:pt idx="170">
                  <c:v>34758.360136790499</c:v>
                </c:pt>
                <c:pt idx="171">
                  <c:v>36963.355747234389</c:v>
                </c:pt>
                <c:pt idx="172">
                  <c:v>39308.231536804677</c:v>
                </c:pt>
                <c:pt idx="173">
                  <c:v>41801.861203217486</c:v>
                </c:pt>
                <c:pt idx="174">
                  <c:v>44453.681372487059</c:v>
                </c:pt>
                <c:pt idx="175">
                  <c:v>47273.727309885995</c:v>
                </c:pt>
                <c:pt idx="176">
                  <c:v>50272.670896332245</c:v>
                </c:pt>
                <c:pt idx="177">
                  <c:v>53461.861013916772</c:v>
                </c:pt>
                <c:pt idx="178">
                  <c:v>56853.366493401947</c:v>
                </c:pt>
                <c:pt idx="179">
                  <c:v>60460.02178621637</c:v>
                </c:pt>
                <c:pt idx="180">
                  <c:v>64295.47553378361</c:v>
                </c:pt>
                <c:pt idx="181">
                  <c:v>68374.242217984312</c:v>
                </c:pt>
                <c:pt idx="182">
                  <c:v>72711.757088212587</c:v>
                </c:pt>
                <c:pt idx="183">
                  <c:v>77324.434572886516</c:v>
                </c:pt>
                <c:pt idx="184">
                  <c:v>82229.730396460247</c:v>
                </c:pt>
                <c:pt idx="185">
                  <c:v>87446.207637003507</c:v>
                </c:pt>
                <c:pt idx="186">
                  <c:v>92993.606974334747</c:v>
                </c:pt>
                <c:pt idx="187">
                  <c:v>98892.921394542427</c:v>
                </c:pt>
                <c:pt idx="188">
                  <c:v>105166.47563360249</c:v>
                </c:pt>
                <c:pt idx="189">
                  <c:v>111838.01066072512</c:v>
                </c:pt>
                <c:pt idx="190">
                  <c:v>118932.77352114675</c:v>
                </c:pt>
                <c:pt idx="191">
                  <c:v>126477.61287835392</c:v>
                </c:pt>
                <c:pt idx="192">
                  <c:v>134501.0806172993</c:v>
                </c:pt>
                <c:pt idx="193">
                  <c:v>143033.53989310883</c:v>
                </c:pt>
                <c:pt idx="194">
                  <c:v>152107.28003416685</c:v>
                </c:pt>
                <c:pt idx="195">
                  <c:v>161756.63873440344</c:v>
                </c:pt>
                <c:pt idx="196">
                  <c:v>172018.13199719929</c:v>
                </c:pt>
                <c:pt idx="197">
                  <c:v>182930.59232265301</c:v>
                </c:pt>
                <c:pt idx="198">
                  <c:v>194535.31566115122</c:v>
                </c:pt>
                <c:pt idx="199">
                  <c:v>206876.21768935499</c:v>
                </c:pt>
                <c:pt idx="200">
                  <c:v>219999.99999999985</c:v>
                </c:pt>
              </c:numCache>
            </c:numRef>
          </c:xVal>
          <c:yVal>
            <c:numRef>
              <c:f>'Design tool'!$AR$2:$AR$201</c:f>
              <c:numCache>
                <c:formatCode>General</c:formatCode>
                <c:ptCount val="200"/>
                <c:pt idx="0">
                  <c:v>50.528241382910757</c:v>
                </c:pt>
                <c:pt idx="1">
                  <c:v>50.527856265790128</c:v>
                </c:pt>
                <c:pt idx="2">
                  <c:v>50.527420777962966</c:v>
                </c:pt>
                <c:pt idx="3">
                  <c:v>50.526928337367892</c:v>
                </c:pt>
                <c:pt idx="4">
                  <c:v>50.526371503544553</c:v>
                </c:pt>
                <c:pt idx="5">
                  <c:v>50.525741866158938</c:v>
                </c:pt>
                <c:pt idx="6">
                  <c:v>50.525029919181733</c:v>
                </c:pt>
                <c:pt idx="7">
                  <c:v>50.524224918913433</c:v>
                </c:pt>
                <c:pt idx="8">
                  <c:v>50.523314723826672</c:v>
                </c:pt>
                <c:pt idx="9">
                  <c:v>50.522285613959319</c:v>
                </c:pt>
                <c:pt idx="10">
                  <c:v>50.521122087321615</c:v>
                </c:pt>
                <c:pt idx="11">
                  <c:v>50.519806630491544</c:v>
                </c:pt>
                <c:pt idx="12">
                  <c:v>50.518319460249344</c:v>
                </c:pt>
                <c:pt idx="13">
                  <c:v>50.516638232755824</c:v>
                </c:pt>
                <c:pt idx="14">
                  <c:v>50.514737716399637</c:v>
                </c:pt>
                <c:pt idx="15">
                  <c:v>50.512589424035738</c:v>
                </c:pt>
                <c:pt idx="16">
                  <c:v>50.510161199904829</c:v>
                </c:pt>
                <c:pt idx="17">
                  <c:v>50.507416756073091</c:v>
                </c:pt>
                <c:pt idx="18">
                  <c:v>50.504315152762032</c:v>
                </c:pt>
                <c:pt idx="19">
                  <c:v>50.500810216465808</c:v>
                </c:pt>
                <c:pt idx="20">
                  <c:v>50.496849889283517</c:v>
                </c:pt>
                <c:pt idx="21">
                  <c:v>50.492375502453868</c:v>
                </c:pt>
                <c:pt idx="22">
                  <c:v>50.487320966682525</c:v>
                </c:pt>
                <c:pt idx="23">
                  <c:v>50.48161187154556</c:v>
                </c:pt>
                <c:pt idx="24">
                  <c:v>50.475164486058013</c:v>
                </c:pt>
                <c:pt idx="25">
                  <c:v>50.467884652492884</c:v>
                </c:pt>
                <c:pt idx="26">
                  <c:v>50.459666565770604</c:v>
                </c:pt>
                <c:pt idx="27">
                  <c:v>50.450391431307494</c:v>
                </c:pt>
                <c:pt idx="28">
                  <c:v>50.439925995225579</c:v>
                </c:pt>
                <c:pt idx="29">
                  <c:v>50.428120942399097</c:v>
                </c:pt>
                <c:pt idx="30">
                  <c:v>50.414809160111965</c:v>
                </c:pt>
                <c:pt idx="31">
                  <c:v>50.399803868299536</c:v>
                </c:pt>
                <c:pt idx="32">
                  <c:v>50.382896621651298</c:v>
                </c:pt>
                <c:pt idx="33">
                  <c:v>50.363855194486895</c:v>
                </c:pt>
                <c:pt idx="34">
                  <c:v>50.342421366533692</c:v>
                </c:pt>
                <c:pt idx="35">
                  <c:v>50.318308636766993</c:v>
                </c:pt>
                <c:pt idx="36">
                  <c:v>50.29119990355882</c:v>
                </c:pt>
                <c:pt idx="37">
                  <c:v>50.260745162686582</c:v>
                </c:pt>
                <c:pt idx="38">
                  <c:v>50.226559290369856</c:v>
                </c:pt>
                <c:pt idx="39">
                  <c:v>50.188219996355969</c:v>
                </c:pt>
                <c:pt idx="40">
                  <c:v>50.145266051872625</c:v>
                </c:pt>
                <c:pt idx="41">
                  <c:v>50.097195918400075</c:v>
                </c:pt>
                <c:pt idx="42">
                  <c:v>50.043466924665751</c:v>
                </c:pt>
                <c:pt idx="43">
                  <c:v>49.983495159514035</c:v>
                </c:pt>
                <c:pt idx="44">
                  <c:v>49.916656265242679</c:v>
                </c:pt>
                <c:pt idx="45">
                  <c:v>49.842287326915709</c:v>
                </c:pt>
                <c:pt idx="46">
                  <c:v>49.759690054765343</c:v>
                </c:pt>
                <c:pt idx="47">
                  <c:v>49.66813544540237</c:v>
                </c:pt>
                <c:pt idx="48">
                  <c:v>49.566870079379854</c:v>
                </c:pt>
                <c:pt idx="49">
                  <c:v>49.455124164332361</c:v>
                </c:pt>
                <c:pt idx="50">
                  <c:v>49.3321213621673</c:v>
                </c:pt>
                <c:pt idx="51">
                  <c:v>49.197090345235573</c:v>
                </c:pt>
                <c:pt idx="52">
                  <c:v>49.049277912420528</c:v>
                </c:pt>
                <c:pt idx="53">
                  <c:v>48.887963367437877</c:v>
                </c:pt>
                <c:pt idx="54">
                  <c:v>48.712473727868314</c:v>
                </c:pt>
                <c:pt idx="55">
                  <c:v>48.522199207500385</c:v>
                </c:pt>
                <c:pt idx="56">
                  <c:v>48.316608311788826</c:v>
                </c:pt>
                <c:pt idx="57">
                  <c:v>48.095261822406712</c:v>
                </c:pt>
                <c:pt idx="58">
                  <c:v>47.857824935733611</c:v>
                </c:pt>
                <c:pt idx="59">
                  <c:v>47.604076870584436</c:v>
                </c:pt>
                <c:pt idx="60">
                  <c:v>47.333917374308747</c:v>
                </c:pt>
                <c:pt idx="61">
                  <c:v>47.047369726824535</c:v>
                </c:pt>
                <c:pt idx="62">
                  <c:v>46.744580054153523</c:v>
                </c:pt>
                <c:pt idx="63">
                  <c:v>46.425812995073706</c:v>
                </c:pt>
                <c:pt idx="64">
                  <c:v>46.091443991903162</c:v>
                </c:pt>
                <c:pt idx="65">
                  <c:v>45.741948675188731</c:v>
                </c:pt>
                <c:pt idx="66">
                  <c:v>45.377889962801447</c:v>
                </c:pt>
                <c:pt idx="67">
                  <c:v>44.999903584512211</c:v>
                </c:pt>
                <c:pt idx="68">
                  <c:v>44.608682770054848</c:v>
                </c:pt>
                <c:pt idx="69">
                  <c:v>44.204962806596399</c:v>
                </c:pt>
                <c:pt idx="70">
                  <c:v>43.789506091459209</c:v>
                </c:pt>
                <c:pt idx="71">
                  <c:v>43.363088192692949</c:v>
                </c:pt>
                <c:pt idx="72">
                  <c:v>42.926485299559538</c:v>
                </c:pt>
                <c:pt idx="73">
                  <c:v>42.480463311802083</c:v>
                </c:pt>
                <c:pt idx="74">
                  <c:v>42.025768692490708</c:v>
                </c:pt>
                <c:pt idx="75">
                  <c:v>41.563121102393836</c:v>
                </c:pt>
                <c:pt idx="76">
                  <c:v>41.093207748680911</c:v>
                </c:pt>
                <c:pt idx="77">
                  <c:v>40.616679318552578</c:v>
                </c:pt>
                <c:pt idx="78">
                  <c:v>40.134147327951311</c:v>
                </c:pt>
                <c:pt idx="79">
                  <c:v>39.646182694044739</c:v>
                </c:pt>
                <c:pt idx="80">
                  <c:v>39.153315334112484</c:v>
                </c:pt>
                <c:pt idx="81">
                  <c:v>38.65603459900894</c:v>
                </c:pt>
                <c:pt idx="82">
                  <c:v>38.154790362950678</c:v>
                </c:pt>
                <c:pt idx="83">
                  <c:v>37.649994609909172</c:v>
                </c:pt>
                <c:pt idx="84">
                  <c:v>37.142023377878544</c:v>
                </c:pt>
                <c:pt idx="85">
                  <c:v>36.631218943866898</c:v>
                </c:pt>
                <c:pt idx="86">
                  <c:v>36.117892153291955</c:v>
                </c:pt>
                <c:pt idx="87">
                  <c:v>35.602324816710095</c:v>
                </c:pt>
                <c:pt idx="88">
                  <c:v>35.084772113977102</c:v>
                </c:pt>
                <c:pt idx="89">
                  <c:v>34.565464960843485</c:v>
                </c:pt>
                <c:pt idx="90">
                  <c:v>34.044612305614585</c:v>
                </c:pt>
                <c:pt idx="91">
                  <c:v>33.52240333398823</c:v>
                </c:pt>
                <c:pt idx="92">
                  <c:v>32.999009568712765</c:v>
                </c:pt>
                <c:pt idx="93">
                  <c:v>32.474586857533922</c:v>
                </c:pt>
                <c:pt idx="94">
                  <c:v>31.949277248263943</c:v>
                </c:pt>
                <c:pt idx="95">
                  <c:v>31.423210753946744</c:v>
                </c:pt>
                <c:pt idx="96">
                  <c:v>30.896507014236192</c:v>
                </c:pt>
                <c:pt idx="97">
                  <c:v>30.369276861448018</c:v>
                </c:pt>
                <c:pt idx="98">
                  <c:v>29.841623801449217</c:v>
                </c:pt>
                <c:pt idx="99">
                  <c:v>29.31364542077436</c:v>
                </c:pt>
                <c:pt idx="100">
                  <c:v>28.785434732201711</c:v>
                </c:pt>
                <c:pt idx="101">
                  <c:v>28.257081471603396</c:v>
                </c:pt>
                <c:pt idx="102">
                  <c:v>27.728673359255364</c:v>
                </c:pt>
                <c:pt idx="103">
                  <c:v>27.20029733902431</c:v>
                </c:pt>
                <c:pt idx="104">
                  <c:v>26.672040808979567</c:v>
                </c:pt>
                <c:pt idx="105">
                  <c:v>26.143992857017693</c:v>
                </c:pt>
                <c:pt idx="106">
                  <c:v>25.616245515065145</c:v>
                </c:pt>
                <c:pt idx="107">
                  <c:v>25.088895045317944</c:v>
                </c:pt>
                <c:pt idx="108">
                  <c:v>24.562043271776087</c:v>
                </c:pt>
                <c:pt idx="109">
                  <c:v>24.03579896999593</c:v>
                </c:pt>
                <c:pt idx="110">
                  <c:v>23.510279327466247</c:v>
                </c:pt>
                <c:pt idx="111">
                  <c:v>22.985611486245311</c:v>
                </c:pt>
                <c:pt idx="112">
                  <c:v>22.461934178378165</c:v>
                </c:pt>
                <c:pt idx="113">
                  <c:v>21.939399463048087</c:v>
                </c:pt>
                <c:pt idx="114">
                  <c:v>21.418174572251367</c:v>
                </c:pt>
                <c:pt idx="115">
                  <c:v>20.898443868870356</c:v>
                </c:pt>
                <c:pt idx="116">
                  <c:v>20.380410917152759</c:v>
                </c:pt>
                <c:pt idx="117">
                  <c:v>19.864300660581893</c:v>
                </c:pt>
                <c:pt idx="118">
                  <c:v>19.350361695701189</c:v>
                </c:pt>
                <c:pt idx="119">
                  <c:v>18.838868622389171</c:v>
                </c:pt>
                <c:pt idx="120">
                  <c:v>18.330124441125481</c:v>
                </c:pt>
                <c:pt idx="121">
                  <c:v>17.824462955734358</c:v>
                </c:pt>
                <c:pt idx="122">
                  <c:v>17.322251125782554</c:v>
                </c:pt>
                <c:pt idx="123">
                  <c:v>16.82389129621647</c:v>
                </c:pt>
                <c:pt idx="124">
                  <c:v>16.329823213077731</c:v>
                </c:pt>
                <c:pt idx="125">
                  <c:v>15.840525713651417</c:v>
                </c:pt>
                <c:pt idx="126">
                  <c:v>15.356517957902627</c:v>
                </c:pt>
                <c:pt idx="127">
                  <c:v>14.878360046757797</c:v>
                </c:pt>
                <c:pt idx="128">
                  <c:v>14.406652853396862</c:v>
                </c:pt>
                <c:pt idx="129">
                  <c:v>13.942036878580357</c:v>
                </c:pt>
                <c:pt idx="130">
                  <c:v>13.485189933074777</c:v>
                </c:pt>
                <c:pt idx="131">
                  <c:v>13.036823452918945</c:v>
                </c:pt>
                <c:pt idx="132">
                  <c:v>12.597677270362308</c:v>
                </c:pt>
                <c:pt idx="133">
                  <c:v>12.168512698499823</c:v>
                </c:pt>
                <c:pt idx="134">
                  <c:v>11.750103843978213</c:v>
                </c:pt>
                <c:pt idx="135">
                  <c:v>11.343227141332706</c:v>
                </c:pt>
                <c:pt idx="136">
                  <c:v>10.948649203993327</c:v>
                </c:pt>
                <c:pt idx="137">
                  <c:v>10.567113207217037</c:v>
                </c:pt>
                <c:pt idx="138">
                  <c:v>10.199324150006133</c:v>
                </c:pt>
                <c:pt idx="139">
                  <c:v>9.8459334755952668</c:v>
                </c:pt>
                <c:pt idx="140">
                  <c:v>9.507523649325007</c:v>
                </c:pt>
                <c:pt idx="141">
                  <c:v>9.1845933829124746</c:v>
                </c:pt>
                <c:pt idx="142">
                  <c:v>8.8775442399226385</c:v>
                </c:pt>
                <c:pt idx="143">
                  <c:v>8.5866693463748103</c:v>
                </c:pt>
                <c:pt idx="144">
                  <c:v>8.3121448563593585</c:v>
                </c:pt>
                <c:pt idx="145">
                  <c:v>8.0540246865965504</c:v>
                </c:pt>
                <c:pt idx="146">
                  <c:v>7.8122388459402172</c:v>
                </c:pt>
                <c:pt idx="147">
                  <c:v>7.5865954636553958</c:v>
                </c:pt>
                <c:pt idx="148">
                  <c:v>7.3767863869938939</c:v>
                </c:pt>
                <c:pt idx="149">
                  <c:v>7.1823959990695476</c:v>
                </c:pt>
                <c:pt idx="150">
                  <c:v>7.0029127249865439</c:v>
                </c:pt>
                <c:pt idx="151">
                  <c:v>6.8377425645764953</c:v>
                </c:pt>
                <c:pt idx="152">
                  <c:v>6.6862239229386811</c:v>
                </c:pt>
                <c:pt idx="153">
                  <c:v>6.5476430056338444</c:v>
                </c:pt>
                <c:pt idx="154">
                  <c:v>6.4212490965961653</c:v>
                </c:pt>
                <c:pt idx="155">
                  <c:v>6.306269130868694</c:v>
                </c:pt>
                <c:pt idx="156">
                  <c:v>6.2019210956060107</c:v>
                </c:pt>
                <c:pt idx="157">
                  <c:v>6.107425925767366</c:v>
                </c:pt>
                <c:pt idx="158">
                  <c:v>6.0220176918274486</c:v>
                </c:pt>
                <c:pt idx="159">
                  <c:v>5.9449519951770906</c:v>
                </c:pt>
                <c:pt idx="160">
                  <c:v>5.8755125859241231</c:v>
                </c:pt>
                <c:pt idx="161">
                  <c:v>5.8130162943450383</c:v>
                </c:pt>
                <c:pt idx="162">
                  <c:v>5.7568164210083985</c:v>
                </c:pt>
                <c:pt idx="163">
                  <c:v>5.7063047634700572</c:v>
                </c:pt>
                <c:pt idx="164">
                  <c:v>5.6609124725721234</c:v>
                </c:pt>
                <c:pt idx="165">
                  <c:v>5.6201099324927553</c:v>
                </c:pt>
                <c:pt idx="166">
                  <c:v>5.5834058495427383</c:v>
                </c:pt>
                <c:pt idx="167">
                  <c:v>5.550345718695004</c:v>
                </c:pt>
                <c:pt idx="168">
                  <c:v>5.5205098168420488</c:v>
                </c:pt>
                <c:pt idx="169">
                  <c:v>5.493510850064335</c:v>
                </c:pt>
                <c:pt idx="170">
                  <c:v>5.4689913604290874</c:v>
                </c:pt>
                <c:pt idx="171">
                  <c:v>5.4466209771710083</c:v>
                </c:pt>
                <c:pt idx="172">
                  <c:v>5.4260935782400663</c:v>
                </c:pt>
                <c:pt idx="173">
                  <c:v>5.4071244115149746</c:v>
                </c:pt>
                <c:pt idx="174">
                  <c:v>5.3894472106123805</c:v>
                </c:pt>
                <c:pt idx="175">
                  <c:v>5.3728113281259553</c:v>
                </c:pt>
                <c:pt idx="176">
                  <c:v>5.3569788991908833</c:v>
                </c:pt>
                <c:pt idx="177">
                  <c:v>5.3417220402890209</c:v>
                </c:pt>
                <c:pt idx="178">
                  <c:v>5.3268200819930893</c:v>
                </c:pt>
                <c:pt idx="179">
                  <c:v>5.3120568297058206</c:v>
                </c:pt>
                <c:pt idx="180">
                  <c:v>5.2972178432108654</c:v>
                </c:pt>
                <c:pt idx="181">
                  <c:v>5.2820877238982309</c:v>
                </c:pt>
                <c:pt idx="182">
                  <c:v>5.2664473977689035</c:v>
                </c:pt>
                <c:pt idx="183">
                  <c:v>5.2500713827376657</c:v>
                </c:pt>
                <c:pt idx="184">
                  <c:v>5.2327250303469803</c:v>
                </c:pt>
                <c:pt idx="185">
                  <c:v>5.214161734857889</c:v>
                </c:pt>
                <c:pt idx="186">
                  <c:v>5.1941201068972207</c:v>
                </c:pt>
                <c:pt idx="187">
                  <c:v>5.1723211145753245</c:v>
                </c:pt>
                <c:pt idx="188">
                  <c:v>5.1484652024308044</c:v>
                </c:pt>
                <c:pt idx="189">
                  <c:v>5.1222294079026645</c:v>
                </c:pt>
                <c:pt idx="190">
                  <c:v>5.0932645064725452</c:v>
                </c:pt>
                <c:pt idx="191">
                  <c:v>5.0611922303139965</c:v>
                </c:pt>
                <c:pt idx="192">
                  <c:v>5.0256026212973985</c:v>
                </c:pt>
                <c:pt idx="193">
                  <c:v>4.9860515974473518</c:v>
                </c:pt>
                <c:pt idx="194">
                  <c:v>4.9420588321502326</c:v>
                </c:pt>
                <c:pt idx="195">
                  <c:v>4.8931060669437603</c:v>
                </c:pt>
                <c:pt idx="196">
                  <c:v>4.8386360005972877</c:v>
                </c:pt>
                <c:pt idx="197">
                  <c:v>4.7780519178947394</c:v>
                </c:pt>
                <c:pt idx="198">
                  <c:v>4.710718238981074</c:v>
                </c:pt>
                <c:pt idx="199">
                  <c:v>4.6359621816280763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061184"/>
        <c:axId val="63103744"/>
      </c:scatterChart>
      <c:valAx>
        <c:axId val="62061184"/>
        <c:scaling>
          <c:logBase val="10"/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 (Hz)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3103744"/>
        <c:crosses val="autoZero"/>
        <c:crossBetween val="midCat"/>
      </c:valAx>
      <c:valAx>
        <c:axId val="631037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Gain (dB)
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206118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Phase of Vout / Verr </a:t>
            </a:r>
          </a:p>
          <a:p>
            <a:pPr>
              <a:defRPr/>
            </a:pPr>
            <a:r>
              <a:rPr lang="en-US"/>
              <a:t>(Power Stage)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344707386795686"/>
          <c:y val="0.25615075205382609"/>
          <c:w val="0.65330318693326161"/>
          <c:h val="0.6897624793804799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'[1]8. Loop Compensation'!$AQ$1</c:f>
              <c:strCache>
                <c:ptCount val="1"/>
                <c:pt idx="0">
                  <c:v>°</c:v>
                </c:pt>
              </c:strCache>
            </c:strRef>
          </c:tx>
          <c:marker>
            <c:symbol val="none"/>
          </c:marker>
          <c:xVal>
            <c:numRef>
              <c:f>'[1]8. Loop Compensation'!$Z$2:$Z$201</c:f>
              <c:numCache>
                <c:formatCode>General</c:formatCode>
                <c:ptCount val="200"/>
                <c:pt idx="0">
                  <c:v>1</c:v>
                </c:pt>
                <c:pt idx="1">
                  <c:v>1.0634378492473788</c:v>
                </c:pt>
                <c:pt idx="2">
                  <c:v>1.1309000592118907</c:v>
                </c:pt>
                <c:pt idx="3">
                  <c:v>1.2026419266820265</c:v>
                </c:pt>
                <c:pt idx="4">
                  <c:v>1.278934943925458</c:v>
                </c:pt>
                <c:pt idx="5">
                  <c:v>1.3600678260954062</c:v>
                </c:pt>
                <c:pt idx="6">
                  <c:v>1.4463476038134566</c:v>
                </c:pt>
                <c:pt idx="7">
                  <c:v>1.5381007850634825</c:v>
                </c:pt>
                <c:pt idx="8">
                  <c:v>1.6356745907936145</c:v>
                </c:pt>
                <c:pt idx="9">
                  <c:v>1.7394382689021479</c:v>
                </c:pt>
                <c:pt idx="10">
                  <c:v>1.849784491579884</c:v>
                </c:pt>
                <c:pt idx="11">
                  <c:v>1.967130841296868</c:v>
                </c:pt>
                <c:pt idx="12">
                  <c:v>2.0919213910569279</c:v>
                </c:pt>
                <c:pt idx="13">
                  <c:v>2.2246283849001642</c:v>
                </c:pt>
                <c:pt idx="14">
                  <c:v>2.365754025012901</c:v>
                </c:pt>
                <c:pt idx="15">
                  <c:v>2.5158323722080485</c:v>
                </c:pt>
                <c:pt idx="16">
                  <c:v>2.6754313669678584</c:v>
                </c:pt>
                <c:pt idx="17">
                  <c:v>2.8451549786972743</c:v>
                </c:pt>
                <c:pt idx="18">
                  <c:v>3.0256454913213009</c:v>
                </c:pt>
                <c:pt idx="19">
                  <c:v>3.2175859338757533</c:v>
                </c:pt>
                <c:pt idx="20">
                  <c:v>3.42170266528945</c:v>
                </c:pt>
                <c:pt idx="21">
                  <c:v>3.6387681231394358</c:v>
                </c:pt>
                <c:pt idx="22">
                  <c:v>3.8696037467813236</c:v>
                </c:pt>
                <c:pt idx="23">
                  <c:v>4.1150830859167291</c:v>
                </c:pt>
                <c:pt idx="24">
                  <c:v>4.376135106361553</c:v>
                </c:pt>
                <c:pt idx="25">
                  <c:v>4.6537477055250784</c:v>
                </c:pt>
                <c:pt idx="26">
                  <c:v>4.9489714509035139</c:v>
                </c:pt>
                <c:pt idx="27">
                  <c:v>5.2629235557355134</c:v>
                </c:pt>
                <c:pt idx="28">
                  <c:v>5.5967921068647417</c:v>
                </c:pt>
                <c:pt idx="29">
                  <c:v>5.9518405608089449</c:v>
                </c:pt>
                <c:pt idx="30">
                  <c:v>6.3294125250499764</c:v>
                </c:pt>
                <c:pt idx="31">
                  <c:v>6.7309368426385694</c:v>
                </c:pt>
                <c:pt idx="32">
                  <c:v>7.1579329993555039</c:v>
                </c:pt>
                <c:pt idx="33">
                  <c:v>7.6120168738914558</c:v>
                </c:pt>
                <c:pt idx="34">
                  <c:v>8.0949068528058863</c:v>
                </c:pt>
                <c:pt idx="35">
                  <c:v>8.6084303334057619</c:v>
                </c:pt>
                <c:pt idx="36">
                  <c:v>9.1545306391529166</c:v>
                </c:pt>
                <c:pt idx="37">
                  <c:v>9.7352743737700074</c:v>
                </c:pt>
                <c:pt idx="38">
                  <c:v>10.352859241875105</c:v>
                </c:pt>
                <c:pt idx="39">
                  <c:v>11.009622365740512</c:v>
                </c:pt>
                <c:pt idx="40">
                  <c:v>11.708049129648925</c:v>
                </c:pt>
                <c:pt idx="41">
                  <c:v>12.4507825853165</c:v>
                </c:pt>
                <c:pt idx="42">
                  <c:v>13.240633453975693</c:v>
                </c:pt>
                <c:pt idx="43">
                  <c:v>14.080590762968805</c:v>
                </c:pt>
                <c:pt idx="44">
                  <c:v>14.973833157104059</c:v>
                </c:pt>
                <c:pt idx="45">
                  <c:v>15.923740927579823</c:v>
                </c:pt>
                <c:pt idx="46">
                  <c:v>16.933908803997952</c:v>
                </c:pt>
                <c:pt idx="47">
                  <c:v>18.008159557874837</c:v>
                </c:pt>
                <c:pt idx="48">
                  <c:v>19.150558469130036</c:v>
                </c:pt>
                <c:pt idx="49">
                  <c:v>20.365428710297824</c:v>
                </c:pt>
                <c:pt idx="50">
                  <c:v>21.657367706679931</c:v>
                </c:pt>
                <c:pt idx="51">
                  <c:v>23.031264534351347</c:v>
                </c:pt>
                <c:pt idx="52">
                  <c:v>24.492318421858034</c:v>
                </c:pt>
                <c:pt idx="53">
                  <c:v>26.046058425622668</c:v>
                </c:pt>
                <c:pt idx="54">
                  <c:v>27.698364353515743</c:v>
                </c:pt>
                <c:pt idx="55">
                  <c:v>29.45548901577305</c:v>
                </c:pt>
                <c:pt idx="56">
                  <c:v>31.324081887463471</c:v>
                </c:pt>
                <c:pt idx="57">
                  <c:v>33.311214272052936</c:v>
                </c:pt>
                <c:pt idx="58">
                  <c:v>35.424406061290533</c:v>
                </c:pt>
                <c:pt idx="59">
                  <c:v>37.67165419268462</c:v>
                </c:pt>
                <c:pt idx="60">
                  <c:v>40.061462912259522</c:v>
                </c:pt>
                <c:pt idx="61">
                  <c:v>42.602875957116908</c:v>
                </c:pt>
                <c:pt idx="62">
                  <c:v>45.305510779589277</c:v>
                </c:pt>
                <c:pt idx="63">
                  <c:v>48.179594942500358</c:v>
                </c:pt>
                <c:pt idx="64">
                  <c:v>51.236004823262483</c:v>
                </c:pt>
                <c:pt idx="65">
                  <c:v>54.486306773278585</c:v>
                </c:pt>
                <c:pt idx="66">
                  <c:v>57.94280088840825</c:v>
                </c:pt>
                <c:pt idx="67">
                  <c:v>61.61856755613799</c:v>
                </c:pt>
                <c:pt idx="68">
                  <c:v>65.527516955603716</c:v>
                </c:pt>
                <c:pt idx="69">
                  <c:v>69.684441697788372</c:v>
                </c:pt>
                <c:pt idx="70">
                  <c:v>74.105072805100434</c:v>
                </c:pt>
                <c:pt idx="71">
                  <c:v>78.806139242176371</c:v>
                </c:pt>
                <c:pt idx="72">
                  <c:v>83.805431223189501</c:v>
                </c:pt>
                <c:pt idx="73">
                  <c:v>89.121867535237712</c:v>
                </c:pt>
                <c:pt idx="74">
                  <c:v>94.775567132582992</c:v>
                </c:pt>
                <c:pt idx="75">
                  <c:v>100.78792527267464</c:v>
                </c:pt>
                <c:pt idx="76">
                  <c:v>107.18169448207877</c:v>
                </c:pt>
                <c:pt idx="77">
                  <c:v>113.98107065871142</c:v>
                </c:pt>
                <c:pt idx="78">
                  <c:v>121.21178463621371</c:v>
                </c:pt>
                <c:pt idx="79">
                  <c:v>128.90119955697148</c:v>
                </c:pt>
                <c:pt idx="80">
                  <c:v>137.07841442227294</c:v>
                </c:pt>
                <c:pt idx="81">
                  <c:v>145.77437421146283</c:v>
                </c:pt>
                <c:pt idx="82">
                  <c:v>155.02198698682062</c:v>
                </c:pt>
                <c:pt idx="83">
                  <c:v>164.85624842731968</c:v>
                </c:pt>
                <c:pt idx="84">
                  <c:v>175.3143742625403</c:v>
                </c:pt>
                <c:pt idx="85">
                  <c:v>186.43594110790573</c:v>
                </c:pt>
                <c:pt idx="86">
                  <c:v>198.26303623420247</c:v>
                </c:pt>
                <c:pt idx="87">
                  <c:v>210.84041683815525</c:v>
                </c:pt>
                <c:pt idx="88">
                  <c:v>224.21567941678887</c:v>
                </c:pt>
                <c:pt idx="89">
                  <c:v>238.43943988652958</c:v>
                </c:pt>
                <c:pt idx="90">
                  <c:v>253.56552512868072</c:v>
                </c:pt>
                <c:pt idx="91">
                  <c:v>269.65117668612646</c:v>
                </c:pt>
                <c:pt idx="92">
                  <c:v>286.75726738211927</c:v>
                </c:pt>
                <c:pt idx="93">
                  <c:v>304.94853168089651</c:v>
                </c:pt>
                <c:pt idx="94">
                  <c:v>324.29381066187881</c:v>
                </c:pt>
                <c:pt idx="95">
                  <c:v>344.8663125345048</c:v>
                </c:pt>
                <c:pt idx="96">
                  <c:v>366.74388967956821</c:v>
                </c:pt>
                <c:pt idx="97">
                  <c:v>390.00933326545766</c:v>
                </c:pt>
                <c:pt idx="98">
                  <c:v>414.75068655422291</c:v>
                </c:pt>
                <c:pt idx="99">
                  <c:v>441.06157808309626</c:v>
                </c:pt>
                <c:pt idx="100">
                  <c:v>469.04157598234281</c:v>
                </c:pt>
                <c:pt idx="101">
                  <c:v>498.79656477026373</c:v>
                </c:pt>
                <c:pt idx="102">
                  <c:v>530.4391460512702</c:v>
                </c:pt>
                <c:pt idx="103">
                  <c:v>564.08906463337905</c:v>
                </c:pt>
                <c:pt idx="104">
                  <c:v>599.87366167768641</c:v>
                </c:pt>
                <c:pt idx="105">
                  <c:v>637.92835659466812</c:v>
                </c:pt>
                <c:pt idx="106">
                  <c:v>678.39715951094945</c:v>
                </c:pt>
                <c:pt idx="107">
                  <c:v>721.43321624585462</c:v>
                </c:pt>
                <c:pt idx="108">
                  <c:v>767.19938786011153</c:v>
                </c:pt>
                <c:pt idx="109">
                  <c:v>815.86886696986198</c:v>
                </c:pt>
                <c:pt idx="110">
                  <c:v>867.62583315832671</c:v>
                </c:pt>
                <c:pt idx="111">
                  <c:v>922.66614996535543</c:v>
                </c:pt>
                <c:pt idx="112">
                  <c:v>981.19810609251715</c:v>
                </c:pt>
                <c:pt idx="113">
                  <c:v>1043.443203628628</c:v>
                </c:pt>
                <c:pt idx="114">
                  <c:v>1109.6369962786232</c:v>
                </c:pt>
                <c:pt idx="115">
                  <c:v>1180.0299807678607</c:v>
                </c:pt>
                <c:pt idx="116">
                  <c:v>1254.8885447951977</c:v>
                </c:pt>
                <c:pt idx="117">
                  <c:v>1334.4959751221782</c:v>
                </c:pt>
                <c:pt idx="118">
                  <c:v>1419.1535296132129</c:v>
                </c:pt>
                <c:pt idx="119">
                  <c:v>1509.1815772837017</c:v>
                </c:pt>
                <c:pt idx="120">
                  <c:v>1604.9208106703452</c:v>
                </c:pt>
                <c:pt idx="121">
                  <c:v>1706.7335351116335</c:v>
                </c:pt>
                <c:pt idx="122">
                  <c:v>1815.0050398174897</c:v>
                </c:pt>
                <c:pt idx="123">
                  <c:v>1930.1450559166665</c:v>
                </c:pt>
                <c:pt idx="124">
                  <c:v>2052.58930699948</c:v>
                </c:pt>
                <c:pt idx="125">
                  <c:v>2182.8011580236971</c:v>
                </c:pt>
                <c:pt idx="126">
                  <c:v>2321.2733688234066</c:v>
                </c:pt>
                <c:pt idx="127">
                  <c:v>2468.5299588567814</c:v>
                </c:pt>
                <c:pt idx="128">
                  <c:v>2625.1281902493761</c:v>
                </c:pt>
                <c:pt idx="129">
                  <c:v>2791.6606766374607</c:v>
                </c:pt>
                <c:pt idx="130">
                  <c:v>2968.757625791824</c:v>
                </c:pt>
                <c:pt idx="131">
                  <c:v>3157.0892245088098</c:v>
                </c:pt>
                <c:pt idx="132">
                  <c:v>3357.3681747937244</c:v>
                </c:pt>
                <c:pt idx="133">
                  <c:v>3570.3523909342362</c:v>
                </c:pt>
                <c:pt idx="134">
                  <c:v>3796.8478676703417</c:v>
                </c:pt>
                <c:pt idx="135">
                  <c:v>4037.7117303148448</c:v>
                </c:pt>
                <c:pt idx="136">
                  <c:v>4293.8554783669315</c:v>
                </c:pt>
                <c:pt idx="137">
                  <c:v>4566.248434893605</c:v>
                </c:pt>
                <c:pt idx="138">
                  <c:v>4855.9214147324665</c:v>
                </c:pt>
                <c:pt idx="139">
                  <c:v>5163.9706253973836</c:v>
                </c:pt>
                <c:pt idx="140">
                  <c:v>5491.5618154492358</c:v>
                </c:pt>
                <c:pt idx="141">
                  <c:v>5839.9346860303567</c:v>
                </c:pt>
                <c:pt idx="142">
                  <c:v>6210.4075822572904</c:v>
                </c:pt>
                <c:pt idx="143">
                  <c:v>6604.3824822253073</c:v>
                </c:pt>
                <c:pt idx="144">
                  <c:v>7023.3503025047467</c:v>
                </c:pt>
                <c:pt idx="145">
                  <c:v>7468.8965402065769</c:v>
                </c:pt>
                <c:pt idx="146">
                  <c:v>7942.7072729684578</c:v>
                </c:pt>
                <c:pt idx="147">
                  <c:v>8446.5755395671058</c:v>
                </c:pt>
                <c:pt idx="148">
                  <c:v>8982.4081253027471</c:v>
                </c:pt>
                <c:pt idx="149">
                  <c:v>9552.2327778341514</c:v>
                </c:pt>
                <c:pt idx="150">
                  <c:v>10158.205880770249</c:v>
                </c:pt>
                <c:pt idx="151">
                  <c:v>10802.620614058389</c:v>
                </c:pt>
                <c:pt idx="152">
                  <c:v>11487.915632049675</c:v>
                </c:pt>
                <c:pt idx="153">
                  <c:v>12216.684292082227</c:v>
                </c:pt>
                <c:pt idx="154">
                  <c:v>12991.684468506162</c:v>
                </c:pt>
                <c:pt idx="155">
                  <c:v>13815.848989288772</c:v>
                </c:pt>
                <c:pt idx="156">
                  <c:v>14692.296734695852</c:v>
                </c:pt>
                <c:pt idx="157">
                  <c:v>15624.344440049217</c:v>
                </c:pt>
                <c:pt idx="158">
                  <c:v>16615.519247226184</c:v>
                </c:pt>
                <c:pt idx="159">
                  <c:v>17669.572052398642</c:v>
                </c:pt>
                <c:pt idx="160">
                  <c:v>18790.49170052441</c:v>
                </c:pt>
                <c:pt idx="161">
                  <c:v>19982.5200803064</c:v>
                </c:pt>
                <c:pt idx="162">
                  <c:v>21250.168176743602</c:v>
                </c:pt>
                <c:pt idx="163">
                  <c:v>22598.233142021272</c:v>
                </c:pt>
                <c:pt idx="164">
                  <c:v>24031.816449341983</c:v>
                </c:pt>
                <c:pt idx="165">
                  <c:v>25556.343198396022</c:v>
                </c:pt>
                <c:pt idx="166">
                  <c:v>27177.582645530147</c:v>
                </c:pt>
                <c:pt idx="167">
                  <c:v>28901.670036305419</c:v>
                </c:pt>
                <c:pt idx="168">
                  <c:v>30735.129823066054</c:v>
                </c:pt>
                <c:pt idx="169">
                  <c:v>32684.900355380338</c:v>
                </c:pt>
                <c:pt idx="170">
                  <c:v>34758.360136790499</c:v>
                </c:pt>
                <c:pt idx="171">
                  <c:v>36963.355747234389</c:v>
                </c:pt>
                <c:pt idx="172">
                  <c:v>39308.231536804677</c:v>
                </c:pt>
                <c:pt idx="173">
                  <c:v>41801.861203217486</c:v>
                </c:pt>
                <c:pt idx="174">
                  <c:v>44453.681372487059</c:v>
                </c:pt>
                <c:pt idx="175">
                  <c:v>47273.727309885995</c:v>
                </c:pt>
                <c:pt idx="176">
                  <c:v>50272.670896332245</c:v>
                </c:pt>
                <c:pt idx="177">
                  <c:v>53461.861013916772</c:v>
                </c:pt>
                <c:pt idx="178">
                  <c:v>56853.366493401947</c:v>
                </c:pt>
                <c:pt idx="179">
                  <c:v>60460.02178621637</c:v>
                </c:pt>
                <c:pt idx="180">
                  <c:v>64295.47553378361</c:v>
                </c:pt>
                <c:pt idx="181">
                  <c:v>68374.242217984312</c:v>
                </c:pt>
                <c:pt idx="182">
                  <c:v>72711.757088212587</c:v>
                </c:pt>
                <c:pt idx="183">
                  <c:v>77324.434572886516</c:v>
                </c:pt>
                <c:pt idx="184">
                  <c:v>82229.730396460247</c:v>
                </c:pt>
                <c:pt idx="185">
                  <c:v>87446.207637003507</c:v>
                </c:pt>
                <c:pt idx="186">
                  <c:v>92993.606974334747</c:v>
                </c:pt>
                <c:pt idx="187">
                  <c:v>98892.921394542427</c:v>
                </c:pt>
                <c:pt idx="188">
                  <c:v>105166.47563360249</c:v>
                </c:pt>
                <c:pt idx="189">
                  <c:v>111838.01066072512</c:v>
                </c:pt>
                <c:pt idx="190">
                  <c:v>118932.77352114675</c:v>
                </c:pt>
                <c:pt idx="191">
                  <c:v>126477.61287835392</c:v>
                </c:pt>
                <c:pt idx="192">
                  <c:v>134501.0806172993</c:v>
                </c:pt>
                <c:pt idx="193">
                  <c:v>143033.53989310883</c:v>
                </c:pt>
                <c:pt idx="194">
                  <c:v>152107.28003416685</c:v>
                </c:pt>
                <c:pt idx="195">
                  <c:v>161756.63873440344</c:v>
                </c:pt>
                <c:pt idx="196">
                  <c:v>172018.13199719929</c:v>
                </c:pt>
                <c:pt idx="197">
                  <c:v>182930.59232265301</c:v>
                </c:pt>
                <c:pt idx="198">
                  <c:v>194535.31566115122</c:v>
                </c:pt>
                <c:pt idx="199">
                  <c:v>206876.21768935499</c:v>
                </c:pt>
              </c:numCache>
            </c:numRef>
          </c:xVal>
          <c:yVal>
            <c:numRef>
              <c:f>'[1]8. Loop Compensation'!$AI$2:$AI$202</c:f>
              <c:numCache>
                <c:formatCode>General</c:formatCode>
                <c:ptCount val="201"/>
                <c:pt idx="0">
                  <c:v>-0.23927531200898353</c:v>
                </c:pt>
                <c:pt idx="1">
                  <c:v>-0.25445422772829379</c:v>
                </c:pt>
                <c:pt idx="2">
                  <c:v>-0.27059602160855623</c:v>
                </c:pt>
                <c:pt idx="3">
                  <c:v>-0.28776176854376251</c:v>
                </c:pt>
                <c:pt idx="4">
                  <c:v>-0.30601641626158638</c:v>
                </c:pt>
                <c:pt idx="5">
                  <c:v>-0.32542903067810408</c:v>
                </c:pt>
                <c:pt idx="6">
                  <c:v>-0.34607305675054162</c:v>
                </c:pt>
                <c:pt idx="7">
                  <c:v>-0.36802659579766672</c:v>
                </c:pt>
                <c:pt idx="8">
                  <c:v>-0.39137270031624344</c:v>
                </c:pt>
                <c:pt idx="9">
                  <c:v>-0.41619968738389718</c:v>
                </c:pt>
                <c:pt idx="10">
                  <c:v>-0.44260147180396053</c:v>
                </c:pt>
                <c:pt idx="11">
                  <c:v>-0.4706779202164183</c:v>
                </c:pt>
                <c:pt idx="12">
                  <c:v>-0.50053522747096824</c:v>
                </c:pt>
                <c:pt idx="13">
                  <c:v>-0.53228631663358184</c:v>
                </c:pt>
                <c:pt idx="14">
                  <c:v>-0.56605126407666728</c:v>
                </c:pt>
                <c:pt idx="15">
                  <c:v>-0.60195775118496531</c:v>
                </c:pt>
                <c:pt idx="16">
                  <c:v>-0.64014154429451198</c:v>
                </c:pt>
                <c:pt idx="17">
                  <c:v>-0.68074700457035575</c:v>
                </c:pt>
                <c:pt idx="18">
                  <c:v>-0.72392762961934531</c:v>
                </c:pt>
                <c:pt idx="19">
                  <c:v>-0.7698466287279716</c:v>
                </c:pt>
                <c:pt idx="20">
                  <c:v>-0.81867753370958052</c:v>
                </c:pt>
                <c:pt idx="21">
                  <c:v>-0.87060484744162547</c:v>
                </c:pt>
                <c:pt idx="22">
                  <c:v>-0.92582473226935946</c:v>
                </c:pt>
                <c:pt idx="23">
                  <c:v>-0.98454574054702648</c:v>
                </c:pt>
                <c:pt idx="24">
                  <c:v>-1.046989589679993</c:v>
                </c:pt>
                <c:pt idx="25">
                  <c:v>-1.1133919841180082</c:v>
                </c:pt>
                <c:pt idx="26">
                  <c:v>-1.184003486830947</c:v>
                </c:pt>
                <c:pt idx="27">
                  <c:v>-1.25909044286813</c:v>
                </c:pt>
                <c:pt idx="28">
                  <c:v>-1.3389359576592914</c:v>
                </c:pt>
                <c:pt idx="29">
                  <c:v>-1.423840932754149</c:v>
                </c:pt>
                <c:pt idx="30">
                  <c:v>-1.5141251617122169</c:v>
                </c:pt>
                <c:pt idx="31">
                  <c:v>-1.6101284888399865</c:v>
                </c:pt>
                <c:pt idx="32">
                  <c:v>-1.7122120334188695</c:v>
                </c:pt>
                <c:pt idx="33">
                  <c:v>-1.820759481966252</c:v>
                </c:pt>
                <c:pt idx="34">
                  <c:v>-1.9361784509111435</c:v>
                </c:pt>
                <c:pt idx="35">
                  <c:v>-2.0589019218305231</c:v>
                </c:pt>
                <c:pt idx="36">
                  <c:v>-2.1893897510670457</c:v>
                </c:pt>
                <c:pt idx="37">
                  <c:v>-2.3281302551108847</c:v>
                </c:pt>
                <c:pt idx="38">
                  <c:v>-2.4756418725558538</c:v>
                </c:pt>
                <c:pt idx="39">
                  <c:v>-2.6324749027012446</c:v>
                </c:pt>
                <c:pt idx="40">
                  <c:v>-2.7992133199336693</c:v>
                </c:pt>
                <c:pt idx="41">
                  <c:v>-2.9764766618443934</c:v>
                </c:pt>
                <c:pt idx="42">
                  <c:v>-3.164921987570589</c:v>
                </c:pt>
                <c:pt idx="43">
                  <c:v>-3.3652459010351654</c:v>
                </c:pt>
                <c:pt idx="44">
                  <c:v>-3.5781866315330149</c:v>
                </c:pt>
                <c:pt idx="45">
                  <c:v>-3.804526161393651</c:v>
                </c:pt>
                <c:pt idx="46">
                  <c:v>-4.0450923871503175</c:v>
                </c:pt>
                <c:pt idx="47">
                  <c:v>-4.3007612966594388</c:v>
                </c:pt>
                <c:pt idx="48">
                  <c:v>-4.5724591398221559</c:v>
                </c:pt>
                <c:pt idx="49">
                  <c:v>-4.8611645648267992</c:v>
                </c:pt>
                <c:pt idx="50">
                  <c:v>-5.1679106850031022</c:v>
                </c:pt>
                <c:pt idx="51">
                  <c:v>-5.4937870332934695</c:v>
                </c:pt>
                <c:pt idx="52">
                  <c:v>-5.8399413518123824</c:v>
                </c:pt>
                <c:pt idx="53">
                  <c:v>-6.2075811528007314</c:v>
                </c:pt>
                <c:pt idx="54">
                  <c:v>-6.5979749742753002</c:v>
                </c:pt>
                <c:pt idx="55">
                  <c:v>-7.0124532386473106</c:v>
                </c:pt>
                <c:pt idx="56">
                  <c:v>-7.4524086053463705</c:v>
                </c:pt>
                <c:pt idx="57">
                  <c:v>-7.9192956889129551</c:v>
                </c:pt>
                <c:pt idx="58">
                  <c:v>-8.4146299920454517</c:v>
                </c:pt>
                <c:pt idx="59">
                  <c:v>-8.9399858787311821</c:v>
                </c:pt>
                <c:pt idx="60">
                  <c:v>-9.4969933860733207</c:v>
                </c:pt>
                <c:pt idx="61">
                  <c:v>-10.087333645138447</c:v>
                </c:pt>
                <c:pt idx="62">
                  <c:v>-10.71273265184063</c:v>
                </c:pt>
                <c:pt idx="63">
                  <c:v>-11.374953099657228</c:v>
                </c:pt>
                <c:pt idx="64">
                  <c:v>-12.075783958499066</c:v>
                </c:pt>
                <c:pt idx="65">
                  <c:v>-12.817027460634787</c:v>
                </c:pt>
                <c:pt idx="66">
                  <c:v>-13.600483138279156</c:v>
                </c:pt>
                <c:pt idx="67">
                  <c:v>-14.427928552311434</c:v>
                </c:pt>
                <c:pt idx="68">
                  <c:v>-15.301096362582202</c:v>
                </c:pt>
                <c:pt idx="69">
                  <c:v>-16.221647423442462</c:v>
                </c:pt>
                <c:pt idx="70">
                  <c:v>-17.191139650437155</c:v>
                </c:pt>
                <c:pt idx="71">
                  <c:v>-18.210992503162743</c:v>
                </c:pt>
                <c:pt idx="72">
                  <c:v>-19.282447072840149</c:v>
                </c:pt>
                <c:pt idx="73">
                  <c:v>-20.406521958198322</c:v>
                </c:pt>
                <c:pt idx="74">
                  <c:v>-21.583965364858773</c:v>
                </c:pt>
                <c:pt idx="75">
                  <c:v>-22.81520417296024</c:v>
                </c:pt>
                <c:pt idx="76">
                  <c:v>-24.100291081113195</c:v>
                </c:pt>
                <c:pt idx="77">
                  <c:v>-25.438851339921477</c:v>
                </c:pt>
                <c:pt idx="78">
                  <c:v>-26.830031013502186</c:v>
                </c:pt>
                <c:pt idx="79">
                  <c:v>-28.2724491196645</c:v>
                </c:pt>
                <c:pt idx="80">
                  <c:v>-29.764156354399585</c:v>
                </c:pt>
                <c:pt idx="81">
                  <c:v>-31.30260335043091</c:v>
                </c:pt>
                <c:pt idx="82">
                  <c:v>-32.884621494262198</c:v>
                </c:pt>
                <c:pt idx="83">
                  <c:v>-34.506419175507403</c:v>
                </c:pt>
                <c:pt idx="84">
                  <c:v>-36.163595922812732</c:v>
                </c:pt>
                <c:pt idx="85">
                  <c:v>-37.851176172540072</c:v>
                </c:pt>
                <c:pt idx="86">
                  <c:v>-39.563663433664836</c:v>
                </c:pt>
                <c:pt idx="87">
                  <c:v>-41.295114409760536</c:v>
                </c:pt>
                <c:pt idx="88">
                  <c:v>-43.039231312269678</c:v>
                </c:pt>
                <c:pt idx="89">
                  <c:v>-44.789469277411179</c:v>
                </c:pt>
                <c:pt idx="90">
                  <c:v>-46.539154628138981</c:v>
                </c:pt>
                <c:pt idx="91">
                  <c:v>-48.281608843558757</c:v>
                </c:pt>
                <c:pt idx="92">
                  <c:v>-50.010272623071856</c:v>
                </c:pt>
                <c:pt idx="93">
                  <c:v>-51.71882442373402</c:v>
                </c:pt>
                <c:pt idx="94">
                  <c:v>-53.401288308039852</c:v>
                </c:pt>
                <c:pt idx="95">
                  <c:v>-55.05212680522385</c:v>
                </c:pt>
                <c:pt idx="96">
                  <c:v>-56.666315651713774</c:v>
                </c:pt>
                <c:pt idx="97">
                  <c:v>-58.239398595228124</c:v>
                </c:pt>
                <c:pt idx="98">
                  <c:v>-59.767521775892071</c:v>
                </c:pt>
                <c:pt idx="99">
                  <c:v>-61.247448406705416</c:v>
                </c:pt>
                <c:pt idx="100">
                  <c:v>-62.676555467625604</c:v>
                </c:pt>
                <c:pt idx="101">
                  <c:v>-64.052814846134225</c:v>
                </c:pt>
                <c:pt idx="102">
                  <c:v>-65.374761786953115</c:v>
                </c:pt>
                <c:pt idx="103">
                  <c:v>-66.641453673345225</c:v>
                </c:pt>
                <c:pt idx="104">
                  <c:v>-67.852422094975836</c:v>
                </c:pt>
                <c:pt idx="105">
                  <c:v>-69.00762091829327</c:v>
                </c:pt>
                <c:pt idx="106">
                  <c:v>-70.107372723387442</c:v>
                </c:pt>
                <c:pt idx="107">
                  <c:v>-71.152315560209431</c:v>
                </c:pt>
                <c:pt idx="108">
                  <c:v>-72.143351551585368</c:v>
                </c:pt>
                <c:pt idx="109">
                  <c:v>-73.081598464030833</c:v>
                </c:pt>
                <c:pt idx="110">
                  <c:v>-73.968345002142044</c:v>
                </c:pt>
                <c:pt idx="111">
                  <c:v>-74.805010270607582</c:v>
                </c:pt>
                <c:pt idx="112">
                  <c:v>-75.593107594085268</c:v>
                </c:pt>
                <c:pt idx="113">
                  <c:v>-76.334212688044772</c:v>
                </c:pt>
                <c:pt idx="114">
                  <c:v>-77.029936028281867</c:v>
                </c:pt>
                <c:pt idx="115">
                  <c:v>-77.681899166166332</c:v>
                </c:pt>
                <c:pt idx="116">
                  <c:v>-78.291714673095356</c:v>
                </c:pt>
                <c:pt idx="117">
                  <c:v>-78.86096936344515</c:v>
                </c:pt>
                <c:pt idx="118">
                  <c:v>-79.391210433554718</c:v>
                </c:pt>
                <c:pt idx="119">
                  <c:v>-79.883934158888508</c:v>
                </c:pt>
                <c:pt idx="120">
                  <c:v>-80.340576807448983</c:v>
                </c:pt>
                <c:pt idx="121">
                  <c:v>-80.762507450733835</c:v>
                </c:pt>
                <c:pt idx="122">
                  <c:v>-81.151022380927287</c:v>
                </c:pt>
                <c:pt idx="123">
                  <c:v>-81.507340872261963</c:v>
                </c:pt>
                <c:pt idx="124">
                  <c:v>-81.832602053935204</c:v>
                </c:pt>
                <c:pt idx="125">
                  <c:v>-82.127862690454464</c:v>
                </c:pt>
                <c:pt idx="126">
                  <c:v>-82.394095692125092</c:v>
                </c:pt>
                <c:pt idx="127">
                  <c:v>-82.632189203144534</c:v>
                </c:pt>
                <c:pt idx="128">
                  <c:v>-82.842946137261421</c:v>
                </c:pt>
                <c:pt idx="129">
                  <c:v>-83.027084051166227</c:v>
                </c:pt>
                <c:pt idx="130">
                  <c:v>-83.185235263807513</c:v>
                </c:pt>
                <c:pt idx="131">
                  <c:v>-83.317947145819645</c:v>
                </c:pt>
                <c:pt idx="132">
                  <c:v>-83.425682517438872</c:v>
                </c:pt>
                <c:pt idx="133">
                  <c:v>-83.508820105895026</c:v>
                </c:pt>
                <c:pt idx="134">
                  <c:v>-83.567655024558576</c:v>
                </c:pt>
                <c:pt idx="135">
                  <c:v>-83.602399246344902</c:v>
                </c:pt>
                <c:pt idx="136">
                  <c:v>-83.613182053292022</c:v>
                </c:pt>
                <c:pt idx="137">
                  <c:v>-83.600050453082403</c:v>
                </c:pt>
                <c:pt idx="138">
                  <c:v>-83.5629695618249</c:v>
                </c:pt>
                <c:pt idx="139">
                  <c:v>-83.5018229609027</c:v>
                </c:pt>
                <c:pt idx="140">
                  <c:v>-83.416413044366493</c:v>
                </c:pt>
                <c:pt idx="141">
                  <c:v>-83.306461382467688</c:v>
                </c:pt>
                <c:pt idx="142">
                  <c:v>-83.171609136728549</c:v>
                </c:pt>
                <c:pt idx="143">
                  <c:v>-83.011417572692821</c:v>
                </c:pt>
                <c:pt idx="144">
                  <c:v>-82.825368728446676</c:v>
                </c:pt>
                <c:pt idx="145">
                  <c:v>-82.612866310399383</c:v>
                </c:pt>
                <c:pt idx="146">
                  <c:v>-82.373236902914059</c:v>
                </c:pt>
                <c:pt idx="147">
                  <c:v>-82.10573159540364</c:v>
                </c:pt>
                <c:pt idx="148">
                  <c:v>-81.809528149658718</c:v>
                </c:pt>
                <c:pt idx="149">
                  <c:v>-81.483733851571529</c:v>
                </c:pt>
                <c:pt idx="150">
                  <c:v>-81.127389215123486</c:v>
                </c:pt>
                <c:pt idx="151">
                  <c:v>-80.739472732408217</c:v>
                </c:pt>
                <c:pt idx="152">
                  <c:v>-80.318906891292016</c:v>
                </c:pt>
                <c:pt idx="153">
                  <c:v>-79.864565711511219</c:v>
                </c:pt>
                <c:pt idx="154">
                  <c:v>-79.375284079672412</c:v>
                </c:pt>
                <c:pt idx="155">
                  <c:v>-78.849869192377128</c:v>
                </c:pt>
                <c:pt idx="156">
                  <c:v>-78.287114442571095</c:v>
                </c:pt>
                <c:pt idx="157">
                  <c:v>-77.685816104547811</c:v>
                </c:pt>
                <c:pt idx="158">
                  <c:v>-77.0447931842522</c:v>
                </c:pt>
                <c:pt idx="159">
                  <c:v>-76.362910799144842</c:v>
                </c:pt>
                <c:pt idx="160">
                  <c:v>-75.639107430344211</c:v>
                </c:pt>
                <c:pt idx="161">
                  <c:v>-74.872426342542155</c:v>
                </c:pt>
                <c:pt idx="162">
                  <c:v>-74.062051386930293</c:v>
                </c:pt>
                <c:pt idx="163">
                  <c:v>-73.207347281315336</c:v>
                </c:pt>
                <c:pt idx="164">
                  <c:v>-72.307904292235307</c:v>
                </c:pt>
                <c:pt idx="165">
                  <c:v>-71.363587020038352</c:v>
                </c:pt>
                <c:pt idx="166">
                  <c:v>-70.374586706121903</c:v>
                </c:pt>
                <c:pt idx="167">
                  <c:v>-69.341476143040538</c:v>
                </c:pt>
                <c:pt idx="168">
                  <c:v>-68.265265880886076</c:v>
                </c:pt>
                <c:pt idx="169">
                  <c:v>-67.147460003989934</c:v>
                </c:pt>
                <c:pt idx="170">
                  <c:v>-65.99010932804147</c:v>
                </c:pt>
                <c:pt idx="171">
                  <c:v>-64.795859478000963</c:v>
                </c:pt>
                <c:pt idx="172">
                  <c:v>-63.567991001218999</c:v>
                </c:pt>
                <c:pt idx="173">
                  <c:v>-62.31044850477452</c:v>
                </c:pt>
                <c:pt idx="174">
                  <c:v>-61.027855839467477</c:v>
                </c:pt>
                <c:pt idx="175">
                  <c:v>-59.725514635927944</c:v>
                </c:pt>
                <c:pt idx="176">
                  <c:v>-58.409384063545794</c:v>
                </c:pt>
                <c:pt idx="177">
                  <c:v>-57.086040533777485</c:v>
                </c:pt>
                <c:pt idx="178">
                  <c:v>-55.762617171165033</c:v>
                </c:pt>
                <c:pt idx="179">
                  <c:v>-54.446724151684151</c:v>
                </c:pt>
                <c:pt idx="180">
                  <c:v>-53.146352344260698</c:v>
                </c:pt>
                <c:pt idx="181">
                  <c:v>-51.869763947058459</c:v>
                </c:pt>
                <c:pt idx="182">
                  <c:v>-50.62537483873875</c:v>
                </c:pt>
                <c:pt idx="183">
                  <c:v>-49.421634037211462</c:v>
                </c:pt>
                <c:pt idx="184">
                  <c:v>-48.266905885579291</c:v>
                </c:pt>
                <c:pt idx="185">
                  <c:v>-47.169360335137043</c:v>
                </c:pt>
                <c:pt idx="186">
                  <c:v>-46.136875999393219</c:v>
                </c:pt>
                <c:pt idx="187">
                  <c:v>-45.176959599117851</c:v>
                </c:pt>
                <c:pt idx="188">
                  <c:v>-44.296684134785608</c:v>
                </c:pt>
                <c:pt idx="189">
                  <c:v>-43.50264675564101</c:v>
                </c:pt>
                <c:pt idx="190">
                  <c:v>-42.800945983951806</c:v>
                </c:pt>
                <c:pt idx="191">
                  <c:v>-42.197176813222654</c:v>
                </c:pt>
                <c:pt idx="192">
                  <c:v>-41.696441306611348</c:v>
                </c:pt>
                <c:pt idx="193">
                  <c:v>-41.303371711348923</c:v>
                </c:pt>
                <c:pt idx="194">
                  <c:v>-41.022162773651218</c:v>
                </c:pt>
                <c:pt idx="195">
                  <c:v>-40.856609854514879</c:v>
                </c:pt>
                <c:pt idx="196">
                  <c:v>-40.810149560286554</c:v>
                </c:pt>
                <c:pt idx="197">
                  <c:v>-40.885899856543205</c:v>
                </c:pt>
                <c:pt idx="198">
                  <c:v>-41.086696975273121</c:v>
                </c:pt>
                <c:pt idx="199">
                  <c:v>-41.415126807756721</c:v>
                </c:pt>
                <c:pt idx="200">
                  <c:v>-41.873548864724313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212672"/>
        <c:axId val="100225408"/>
      </c:scatterChart>
      <c:valAx>
        <c:axId val="97212672"/>
        <c:scaling>
          <c:logBase val="10"/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 (Hz)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0225408"/>
        <c:crosses val="autoZero"/>
        <c:crossBetween val="midCat"/>
      </c:valAx>
      <c:valAx>
        <c:axId val="1002254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Phase (°)
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721267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|Vout / Verr| (Power Stage)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db</c:v>
          </c:tx>
          <c:marker>
            <c:symbol val="none"/>
          </c:marker>
          <c:xVal>
            <c:numRef>
              <c:f>'Design tool'!$Z$2:$Z$202</c:f>
              <c:numCache>
                <c:formatCode>General</c:formatCode>
                <c:ptCount val="201"/>
                <c:pt idx="0">
                  <c:v>1</c:v>
                </c:pt>
                <c:pt idx="1">
                  <c:v>1.0634378492473788</c:v>
                </c:pt>
                <c:pt idx="2">
                  <c:v>1.1309000592118907</c:v>
                </c:pt>
                <c:pt idx="3">
                  <c:v>1.2026419266820265</c:v>
                </c:pt>
                <c:pt idx="4">
                  <c:v>1.278934943925458</c:v>
                </c:pt>
                <c:pt idx="5">
                  <c:v>1.3600678260954062</c:v>
                </c:pt>
                <c:pt idx="6">
                  <c:v>1.4463476038134566</c:v>
                </c:pt>
                <c:pt idx="7">
                  <c:v>1.5381007850634825</c:v>
                </c:pt>
                <c:pt idx="8">
                  <c:v>1.6356745907936145</c:v>
                </c:pt>
                <c:pt idx="9">
                  <c:v>1.7394382689021479</c:v>
                </c:pt>
                <c:pt idx="10">
                  <c:v>1.849784491579884</c:v>
                </c:pt>
                <c:pt idx="11">
                  <c:v>1.967130841296868</c:v>
                </c:pt>
                <c:pt idx="12">
                  <c:v>2.0919213910569279</c:v>
                </c:pt>
                <c:pt idx="13">
                  <c:v>2.2246283849001642</c:v>
                </c:pt>
                <c:pt idx="14">
                  <c:v>2.365754025012901</c:v>
                </c:pt>
                <c:pt idx="15">
                  <c:v>2.5158323722080485</c:v>
                </c:pt>
                <c:pt idx="16">
                  <c:v>2.6754313669678584</c:v>
                </c:pt>
                <c:pt idx="17">
                  <c:v>2.8451549786972743</c:v>
                </c:pt>
                <c:pt idx="18">
                  <c:v>3.0256454913213009</c:v>
                </c:pt>
                <c:pt idx="19">
                  <c:v>3.2175859338757533</c:v>
                </c:pt>
                <c:pt idx="20">
                  <c:v>3.42170266528945</c:v>
                </c:pt>
                <c:pt idx="21">
                  <c:v>3.6387681231394358</c:v>
                </c:pt>
                <c:pt idx="22">
                  <c:v>3.8696037467813236</c:v>
                </c:pt>
                <c:pt idx="23">
                  <c:v>4.1150830859167291</c:v>
                </c:pt>
                <c:pt idx="24">
                  <c:v>4.376135106361553</c:v>
                </c:pt>
                <c:pt idx="25">
                  <c:v>4.6537477055250784</c:v>
                </c:pt>
                <c:pt idx="26">
                  <c:v>4.9489714509035139</c:v>
                </c:pt>
                <c:pt idx="27">
                  <c:v>5.2629235557355134</c:v>
                </c:pt>
                <c:pt idx="28">
                  <c:v>5.5967921068647417</c:v>
                </c:pt>
                <c:pt idx="29">
                  <c:v>5.9518405608089449</c:v>
                </c:pt>
                <c:pt idx="30">
                  <c:v>6.3294125250499764</c:v>
                </c:pt>
                <c:pt idx="31">
                  <c:v>6.7309368426385694</c:v>
                </c:pt>
                <c:pt idx="32">
                  <c:v>7.1579329993555039</c:v>
                </c:pt>
                <c:pt idx="33">
                  <c:v>7.6120168738914558</c:v>
                </c:pt>
                <c:pt idx="34">
                  <c:v>8.0949068528058863</c:v>
                </c:pt>
                <c:pt idx="35">
                  <c:v>8.6084303334057619</c:v>
                </c:pt>
                <c:pt idx="36">
                  <c:v>9.1545306391529166</c:v>
                </c:pt>
                <c:pt idx="37">
                  <c:v>9.7352743737700074</c:v>
                </c:pt>
                <c:pt idx="38">
                  <c:v>10.352859241875105</c:v>
                </c:pt>
                <c:pt idx="39">
                  <c:v>11.009622365740512</c:v>
                </c:pt>
                <c:pt idx="40">
                  <c:v>11.708049129648925</c:v>
                </c:pt>
                <c:pt idx="41">
                  <c:v>12.4507825853165</c:v>
                </c:pt>
                <c:pt idx="42">
                  <c:v>13.240633453975693</c:v>
                </c:pt>
                <c:pt idx="43">
                  <c:v>14.080590762968805</c:v>
                </c:pt>
                <c:pt idx="44">
                  <c:v>14.973833157104059</c:v>
                </c:pt>
                <c:pt idx="45">
                  <c:v>15.923740927579823</c:v>
                </c:pt>
                <c:pt idx="46">
                  <c:v>16.933908803997952</c:v>
                </c:pt>
                <c:pt idx="47">
                  <c:v>18.008159557874837</c:v>
                </c:pt>
                <c:pt idx="48">
                  <c:v>19.150558469130036</c:v>
                </c:pt>
                <c:pt idx="49">
                  <c:v>20.365428710297824</c:v>
                </c:pt>
                <c:pt idx="50">
                  <c:v>21.657367706679931</c:v>
                </c:pt>
                <c:pt idx="51">
                  <c:v>23.031264534351347</c:v>
                </c:pt>
                <c:pt idx="52">
                  <c:v>24.492318421858034</c:v>
                </c:pt>
                <c:pt idx="53">
                  <c:v>26.046058425622668</c:v>
                </c:pt>
                <c:pt idx="54">
                  <c:v>27.698364353515743</c:v>
                </c:pt>
                <c:pt idx="55">
                  <c:v>29.45548901577305</c:v>
                </c:pt>
                <c:pt idx="56">
                  <c:v>31.324081887463471</c:v>
                </c:pt>
                <c:pt idx="57">
                  <c:v>33.311214272052936</c:v>
                </c:pt>
                <c:pt idx="58">
                  <c:v>35.424406061290533</c:v>
                </c:pt>
                <c:pt idx="59">
                  <c:v>37.67165419268462</c:v>
                </c:pt>
                <c:pt idx="60">
                  <c:v>40.061462912259522</c:v>
                </c:pt>
                <c:pt idx="61">
                  <c:v>42.602875957116908</c:v>
                </c:pt>
                <c:pt idx="62">
                  <c:v>45.305510779589277</c:v>
                </c:pt>
                <c:pt idx="63">
                  <c:v>48.179594942500358</c:v>
                </c:pt>
                <c:pt idx="64">
                  <c:v>51.236004823262483</c:v>
                </c:pt>
                <c:pt idx="65">
                  <c:v>54.486306773278585</c:v>
                </c:pt>
                <c:pt idx="66">
                  <c:v>57.94280088840825</c:v>
                </c:pt>
                <c:pt idx="67">
                  <c:v>61.61856755613799</c:v>
                </c:pt>
                <c:pt idx="68">
                  <c:v>65.527516955603716</c:v>
                </c:pt>
                <c:pt idx="69">
                  <c:v>69.684441697788372</c:v>
                </c:pt>
                <c:pt idx="70">
                  <c:v>74.105072805100434</c:v>
                </c:pt>
                <c:pt idx="71">
                  <c:v>78.806139242176371</c:v>
                </c:pt>
                <c:pt idx="72">
                  <c:v>83.805431223189501</c:v>
                </c:pt>
                <c:pt idx="73">
                  <c:v>89.121867535237712</c:v>
                </c:pt>
                <c:pt idx="74">
                  <c:v>94.775567132582992</c:v>
                </c:pt>
                <c:pt idx="75">
                  <c:v>100.78792527267464</c:v>
                </c:pt>
                <c:pt idx="76">
                  <c:v>107.18169448207877</c:v>
                </c:pt>
                <c:pt idx="77">
                  <c:v>113.98107065871142</c:v>
                </c:pt>
                <c:pt idx="78">
                  <c:v>121.21178463621371</c:v>
                </c:pt>
                <c:pt idx="79">
                  <c:v>128.90119955697148</c:v>
                </c:pt>
                <c:pt idx="80">
                  <c:v>137.07841442227294</c:v>
                </c:pt>
                <c:pt idx="81">
                  <c:v>145.77437421146283</c:v>
                </c:pt>
                <c:pt idx="82">
                  <c:v>155.02198698682062</c:v>
                </c:pt>
                <c:pt idx="83">
                  <c:v>164.85624842731968</c:v>
                </c:pt>
                <c:pt idx="84">
                  <c:v>175.3143742625403</c:v>
                </c:pt>
                <c:pt idx="85">
                  <c:v>186.43594110790573</c:v>
                </c:pt>
                <c:pt idx="86">
                  <c:v>198.26303623420247</c:v>
                </c:pt>
                <c:pt idx="87">
                  <c:v>210.84041683815525</c:v>
                </c:pt>
                <c:pt idx="88">
                  <c:v>224.21567941678887</c:v>
                </c:pt>
                <c:pt idx="89">
                  <c:v>238.43943988652958</c:v>
                </c:pt>
                <c:pt idx="90">
                  <c:v>253.56552512868072</c:v>
                </c:pt>
                <c:pt idx="91">
                  <c:v>269.65117668612646</c:v>
                </c:pt>
                <c:pt idx="92">
                  <c:v>286.75726738211927</c:v>
                </c:pt>
                <c:pt idx="93">
                  <c:v>304.94853168089651</c:v>
                </c:pt>
                <c:pt idx="94">
                  <c:v>324.29381066187881</c:v>
                </c:pt>
                <c:pt idx="95">
                  <c:v>344.8663125345048</c:v>
                </c:pt>
                <c:pt idx="96">
                  <c:v>366.74388967956821</c:v>
                </c:pt>
                <c:pt idx="97">
                  <c:v>390.00933326545766</c:v>
                </c:pt>
                <c:pt idx="98">
                  <c:v>414.75068655422291</c:v>
                </c:pt>
                <c:pt idx="99">
                  <c:v>441.06157808309626</c:v>
                </c:pt>
                <c:pt idx="100">
                  <c:v>469.04157598234281</c:v>
                </c:pt>
                <c:pt idx="101">
                  <c:v>498.79656477026373</c:v>
                </c:pt>
                <c:pt idx="102">
                  <c:v>530.4391460512702</c:v>
                </c:pt>
                <c:pt idx="103">
                  <c:v>564.08906463337905</c:v>
                </c:pt>
                <c:pt idx="104">
                  <c:v>599.87366167768641</c:v>
                </c:pt>
                <c:pt idx="105">
                  <c:v>637.92835659466812</c:v>
                </c:pt>
                <c:pt idx="106">
                  <c:v>678.39715951094945</c:v>
                </c:pt>
                <c:pt idx="107">
                  <c:v>721.43321624585462</c:v>
                </c:pt>
                <c:pt idx="108">
                  <c:v>767.19938786011153</c:v>
                </c:pt>
                <c:pt idx="109">
                  <c:v>815.86886696986198</c:v>
                </c:pt>
                <c:pt idx="110">
                  <c:v>867.62583315832671</c:v>
                </c:pt>
                <c:pt idx="111">
                  <c:v>922.66614996535543</c:v>
                </c:pt>
                <c:pt idx="112">
                  <c:v>981.19810609251715</c:v>
                </c:pt>
                <c:pt idx="113">
                  <c:v>1043.443203628628</c:v>
                </c:pt>
                <c:pt idx="114">
                  <c:v>1109.6369962786232</c:v>
                </c:pt>
                <c:pt idx="115">
                  <c:v>1180.0299807678607</c:v>
                </c:pt>
                <c:pt idx="116">
                  <c:v>1254.8885447951977</c:v>
                </c:pt>
                <c:pt idx="117">
                  <c:v>1334.4959751221782</c:v>
                </c:pt>
                <c:pt idx="118">
                  <c:v>1419.1535296132129</c:v>
                </c:pt>
                <c:pt idx="119">
                  <c:v>1509.1815772837017</c:v>
                </c:pt>
                <c:pt idx="120">
                  <c:v>1604.9208106703452</c:v>
                </c:pt>
                <c:pt idx="121">
                  <c:v>1706.7335351116335</c:v>
                </c:pt>
                <c:pt idx="122">
                  <c:v>1815.0050398174897</c:v>
                </c:pt>
                <c:pt idx="123">
                  <c:v>1930.1450559166665</c:v>
                </c:pt>
                <c:pt idx="124">
                  <c:v>2052.58930699948</c:v>
                </c:pt>
                <c:pt idx="125">
                  <c:v>2182.8011580236971</c:v>
                </c:pt>
                <c:pt idx="126">
                  <c:v>2321.2733688234066</c:v>
                </c:pt>
                <c:pt idx="127">
                  <c:v>2468.5299588567814</c:v>
                </c:pt>
                <c:pt idx="128">
                  <c:v>2625.1281902493761</c:v>
                </c:pt>
                <c:pt idx="129">
                  <c:v>2791.6606766374607</c:v>
                </c:pt>
                <c:pt idx="130">
                  <c:v>2968.757625791824</c:v>
                </c:pt>
                <c:pt idx="131">
                  <c:v>3157.0892245088098</c:v>
                </c:pt>
                <c:pt idx="132">
                  <c:v>3357.3681747937244</c:v>
                </c:pt>
                <c:pt idx="133">
                  <c:v>3570.3523909342362</c:v>
                </c:pt>
                <c:pt idx="134">
                  <c:v>3796.8478676703417</c:v>
                </c:pt>
                <c:pt idx="135">
                  <c:v>4037.7117303148448</c:v>
                </c:pt>
                <c:pt idx="136">
                  <c:v>4293.8554783669315</c:v>
                </c:pt>
                <c:pt idx="137">
                  <c:v>4566.248434893605</c:v>
                </c:pt>
                <c:pt idx="138">
                  <c:v>4855.9214147324665</c:v>
                </c:pt>
                <c:pt idx="139">
                  <c:v>5163.9706253973836</c:v>
                </c:pt>
                <c:pt idx="140">
                  <c:v>5491.5618154492358</c:v>
                </c:pt>
                <c:pt idx="141">
                  <c:v>5839.9346860303567</c:v>
                </c:pt>
                <c:pt idx="142">
                  <c:v>6210.4075822572904</c:v>
                </c:pt>
                <c:pt idx="143">
                  <c:v>6604.3824822253073</c:v>
                </c:pt>
                <c:pt idx="144">
                  <c:v>7023.3503025047467</c:v>
                </c:pt>
                <c:pt idx="145">
                  <c:v>7468.8965402065769</c:v>
                </c:pt>
                <c:pt idx="146">
                  <c:v>7942.7072729684578</c:v>
                </c:pt>
                <c:pt idx="147">
                  <c:v>8446.5755395671058</c:v>
                </c:pt>
                <c:pt idx="148">
                  <c:v>8982.4081253027471</c:v>
                </c:pt>
                <c:pt idx="149">
                  <c:v>9552.2327778341514</c:v>
                </c:pt>
                <c:pt idx="150">
                  <c:v>10158.205880770249</c:v>
                </c:pt>
                <c:pt idx="151">
                  <c:v>10802.620614058389</c:v>
                </c:pt>
                <c:pt idx="152">
                  <c:v>11487.915632049675</c:v>
                </c:pt>
                <c:pt idx="153">
                  <c:v>12216.684292082227</c:v>
                </c:pt>
                <c:pt idx="154">
                  <c:v>12991.684468506162</c:v>
                </c:pt>
                <c:pt idx="155">
                  <c:v>13815.848989288772</c:v>
                </c:pt>
                <c:pt idx="156">
                  <c:v>14692.296734695852</c:v>
                </c:pt>
                <c:pt idx="157">
                  <c:v>15624.344440049217</c:v>
                </c:pt>
                <c:pt idx="158">
                  <c:v>16615.519247226184</c:v>
                </c:pt>
                <c:pt idx="159">
                  <c:v>17669.572052398642</c:v>
                </c:pt>
                <c:pt idx="160">
                  <c:v>18790.49170052441</c:v>
                </c:pt>
                <c:pt idx="161">
                  <c:v>19982.5200803064</c:v>
                </c:pt>
                <c:pt idx="162">
                  <c:v>21250.168176743602</c:v>
                </c:pt>
                <c:pt idx="163">
                  <c:v>22598.233142021272</c:v>
                </c:pt>
                <c:pt idx="164">
                  <c:v>24031.816449341983</c:v>
                </c:pt>
                <c:pt idx="165">
                  <c:v>25556.343198396022</c:v>
                </c:pt>
                <c:pt idx="166">
                  <c:v>27177.582645530147</c:v>
                </c:pt>
                <c:pt idx="167">
                  <c:v>28901.670036305419</c:v>
                </c:pt>
                <c:pt idx="168">
                  <c:v>30735.129823066054</c:v>
                </c:pt>
                <c:pt idx="169">
                  <c:v>32684.900355380338</c:v>
                </c:pt>
                <c:pt idx="170">
                  <c:v>34758.360136790499</c:v>
                </c:pt>
                <c:pt idx="171">
                  <c:v>36963.355747234389</c:v>
                </c:pt>
                <c:pt idx="172">
                  <c:v>39308.231536804677</c:v>
                </c:pt>
                <c:pt idx="173">
                  <c:v>41801.861203217486</c:v>
                </c:pt>
                <c:pt idx="174">
                  <c:v>44453.681372487059</c:v>
                </c:pt>
                <c:pt idx="175">
                  <c:v>47273.727309885995</c:v>
                </c:pt>
                <c:pt idx="176">
                  <c:v>50272.670896332245</c:v>
                </c:pt>
                <c:pt idx="177">
                  <c:v>53461.861013916772</c:v>
                </c:pt>
                <c:pt idx="178">
                  <c:v>56853.366493401947</c:v>
                </c:pt>
                <c:pt idx="179">
                  <c:v>60460.02178621637</c:v>
                </c:pt>
                <c:pt idx="180">
                  <c:v>64295.47553378361</c:v>
                </c:pt>
                <c:pt idx="181">
                  <c:v>68374.242217984312</c:v>
                </c:pt>
                <c:pt idx="182">
                  <c:v>72711.757088212587</c:v>
                </c:pt>
                <c:pt idx="183">
                  <c:v>77324.434572886516</c:v>
                </c:pt>
                <c:pt idx="184">
                  <c:v>82229.730396460247</c:v>
                </c:pt>
                <c:pt idx="185">
                  <c:v>87446.207637003507</c:v>
                </c:pt>
                <c:pt idx="186">
                  <c:v>92993.606974334747</c:v>
                </c:pt>
                <c:pt idx="187">
                  <c:v>98892.921394542427</c:v>
                </c:pt>
                <c:pt idx="188">
                  <c:v>105166.47563360249</c:v>
                </c:pt>
                <c:pt idx="189">
                  <c:v>111838.01066072512</c:v>
                </c:pt>
                <c:pt idx="190">
                  <c:v>118932.77352114675</c:v>
                </c:pt>
                <c:pt idx="191">
                  <c:v>126477.61287835392</c:v>
                </c:pt>
                <c:pt idx="192">
                  <c:v>134501.0806172993</c:v>
                </c:pt>
                <c:pt idx="193">
                  <c:v>143033.53989310883</c:v>
                </c:pt>
                <c:pt idx="194">
                  <c:v>152107.28003416685</c:v>
                </c:pt>
                <c:pt idx="195">
                  <c:v>161756.63873440344</c:v>
                </c:pt>
                <c:pt idx="196">
                  <c:v>172018.13199719929</c:v>
                </c:pt>
                <c:pt idx="197">
                  <c:v>182930.59232265301</c:v>
                </c:pt>
                <c:pt idx="198">
                  <c:v>194535.31566115122</c:v>
                </c:pt>
                <c:pt idx="199">
                  <c:v>206876.21768935499</c:v>
                </c:pt>
                <c:pt idx="200">
                  <c:v>219999.99999999985</c:v>
                </c:pt>
              </c:numCache>
            </c:numRef>
          </c:xVal>
          <c:yVal>
            <c:numRef>
              <c:f>'Design tool'!$AJ$2:$AJ$202</c:f>
              <c:numCache>
                <c:formatCode>General</c:formatCode>
                <c:ptCount val="201"/>
                <c:pt idx="0">
                  <c:v>16.719391802901885</c:v>
                </c:pt>
                <c:pt idx="1">
                  <c:v>16.719391784299173</c:v>
                </c:pt>
                <c:pt idx="2">
                  <c:v>16.719391763261399</c:v>
                </c:pt>
                <c:pt idx="3">
                  <c:v>16.719391739469764</c:v>
                </c:pt>
                <c:pt idx="4">
                  <c:v>16.719391712563809</c:v>
                </c:pt>
                <c:pt idx="5">
                  <c:v>16.71939168213585</c:v>
                </c:pt>
                <c:pt idx="6">
                  <c:v>16.719391647724873</c:v>
                </c:pt>
                <c:pt idx="7">
                  <c:v>16.719391608809506</c:v>
                </c:pt>
                <c:pt idx="8">
                  <c:v>16.719391564800102</c:v>
                </c:pt>
                <c:pt idx="9">
                  <c:v>16.719391515029894</c:v>
                </c:pt>
                <c:pt idx="10">
                  <c:v>16.719391458744745</c:v>
                </c:pt>
                <c:pt idx="11">
                  <c:v>16.719391395091858</c:v>
                </c:pt>
                <c:pt idx="12">
                  <c:v>16.719391323106805</c:v>
                </c:pt>
                <c:pt idx="13">
                  <c:v>16.719391241698922</c:v>
                </c:pt>
                <c:pt idx="14">
                  <c:v>16.719391149634738</c:v>
                </c:pt>
                <c:pt idx="15">
                  <c:v>16.719391045519338</c:v>
                </c:pt>
                <c:pt idx="16">
                  <c:v>16.719390927775247</c:v>
                </c:pt>
                <c:pt idx="17">
                  <c:v>16.719390794618441</c:v>
                </c:pt>
                <c:pt idx="18">
                  <c:v>16.719390644031417</c:v>
                </c:pt>
                <c:pt idx="19">
                  <c:v>16.719390473732535</c:v>
                </c:pt>
                <c:pt idx="20">
                  <c:v>16.719390281141543</c:v>
                </c:pt>
                <c:pt idx="21">
                  <c:v>16.719390063340377</c:v>
                </c:pt>
                <c:pt idx="22">
                  <c:v>16.719389817029043</c:v>
                </c:pt>
                <c:pt idx="23">
                  <c:v>16.719389538475543</c:v>
                </c:pt>
                <c:pt idx="24">
                  <c:v>16.719389223459423</c:v>
                </c:pt>
                <c:pt idx="25">
                  <c:v>16.719388867207673</c:v>
                </c:pt>
                <c:pt idx="26">
                  <c:v>16.719388464322602</c:v>
                </c:pt>
                <c:pt idx="27">
                  <c:v>16.71938800869988</c:v>
                </c:pt>
                <c:pt idx="28">
                  <c:v>16.719387493436187</c:v>
                </c:pt>
                <c:pt idx="29">
                  <c:v>16.719386910724513</c:v>
                </c:pt>
                <c:pt idx="30">
                  <c:v>16.719386251735962</c:v>
                </c:pt>
                <c:pt idx="31">
                  <c:v>16.719385506485875</c:v>
                </c:pt>
                <c:pt idx="32">
                  <c:v>16.719384663682654</c:v>
                </c:pt>
                <c:pt idx="33">
                  <c:v>16.719383710556645</c:v>
                </c:pt>
                <c:pt idx="34">
                  <c:v>16.719382632666623</c:v>
                </c:pt>
                <c:pt idx="35">
                  <c:v>16.719381413681077</c:v>
                </c:pt>
                <c:pt idx="36">
                  <c:v>16.719380035130655</c:v>
                </c:pt>
                <c:pt idx="37">
                  <c:v>16.71937847612843</c:v>
                </c:pt>
                <c:pt idx="38">
                  <c:v>16.719376713053393</c:v>
                </c:pt>
                <c:pt idx="39">
                  <c:v>16.719374719192601</c:v>
                </c:pt>
                <c:pt idx="40">
                  <c:v>16.719372464336384</c:v>
                </c:pt>
                <c:pt idx="41">
                  <c:v>16.719369914320794</c:v>
                </c:pt>
                <c:pt idx="42">
                  <c:v>16.719367030509822</c:v>
                </c:pt>
                <c:pt idx="43">
                  <c:v>16.719363769210123</c:v>
                </c:pt>
                <c:pt idx="44">
                  <c:v>16.719360081009036</c:v>
                </c:pt>
                <c:pt idx="45">
                  <c:v>16.719355910025993</c:v>
                </c:pt>
                <c:pt idx="46">
                  <c:v>16.719351193065837</c:v>
                </c:pt>
                <c:pt idx="47">
                  <c:v>16.719345858661505</c:v>
                </c:pt>
                <c:pt idx="48">
                  <c:v>16.719339825991216</c:v>
                </c:pt>
                <c:pt idx="49">
                  <c:v>16.719333003654128</c:v>
                </c:pt>
                <c:pt idx="50">
                  <c:v>16.719325288285614</c:v>
                </c:pt>
                <c:pt idx="51">
                  <c:v>16.719316562991423</c:v>
                </c:pt>
                <c:pt idx="52">
                  <c:v>16.719306695576808</c:v>
                </c:pt>
                <c:pt idx="53">
                  <c:v>16.71929553654406</c:v>
                </c:pt>
                <c:pt idx="54">
                  <c:v>16.719282916827783</c:v>
                </c:pt>
                <c:pt idx="55">
                  <c:v>16.719268645234092</c:v>
                </c:pt>
                <c:pt idx="56">
                  <c:v>16.719252505544429</c:v>
                </c:pt>
                <c:pt idx="57">
                  <c:v>16.719234253240693</c:v>
                </c:pt>
                <c:pt idx="58">
                  <c:v>16.719213611801724</c:v>
                </c:pt>
                <c:pt idx="59">
                  <c:v>16.719190268515337</c:v>
                </c:pt>
                <c:pt idx="60">
                  <c:v>16.719163869742523</c:v>
                </c:pt>
                <c:pt idx="61">
                  <c:v>16.719134015562076</c:v>
                </c:pt>
                <c:pt idx="62">
                  <c:v>16.719100253714881</c:v>
                </c:pt>
                <c:pt idx="63">
                  <c:v>16.719062072756032</c:v>
                </c:pt>
                <c:pt idx="64">
                  <c:v>16.719018894311763</c:v>
                </c:pt>
                <c:pt idx="65">
                  <c:v>16.71897006432371</c:v>
                </c:pt>
                <c:pt idx="66">
                  <c:v>16.718914843148671</c:v>
                </c:pt>
                <c:pt idx="67">
                  <c:v>16.718852394364379</c:v>
                </c:pt>
                <c:pt idx="68">
                  <c:v>16.718781772112202</c:v>
                </c:pt>
                <c:pt idx="69">
                  <c:v>16.718701906786396</c:v>
                </c:pt>
                <c:pt idx="70">
                  <c:v>16.718611588853925</c:v>
                </c:pt>
                <c:pt idx="71">
                  <c:v>16.718509450561292</c:v>
                </c:pt>
                <c:pt idx="72">
                  <c:v>16.71839394525367</c:v>
                </c:pt>
                <c:pt idx="73">
                  <c:v>16.718263323994904</c:v>
                </c:pt>
                <c:pt idx="74">
                  <c:v>16.718115609138</c:v>
                </c:pt>
                <c:pt idx="75">
                  <c:v>16.717948564449536</c:v>
                </c:pt>
                <c:pt idx="76">
                  <c:v>16.717759661340953</c:v>
                </c:pt>
                <c:pt idx="77">
                  <c:v>16.717546040701695</c:v>
                </c:pt>
                <c:pt idx="78">
                  <c:v>16.717304469765029</c:v>
                </c:pt>
                <c:pt idx="79">
                  <c:v>16.717031293364002</c:v>
                </c:pt>
                <c:pt idx="80">
                  <c:v>16.716722378853571</c:v>
                </c:pt>
                <c:pt idx="81">
                  <c:v>16.716373053882606</c:v>
                </c:pt>
                <c:pt idx="82">
                  <c:v>16.71597803609658</c:v>
                </c:pt>
                <c:pt idx="83">
                  <c:v>16.715531353735781</c:v>
                </c:pt>
                <c:pt idx="84">
                  <c:v>16.715026255964222</c:v>
                </c:pt>
                <c:pt idx="85">
                  <c:v>16.714455111620016</c:v>
                </c:pt>
                <c:pt idx="86">
                  <c:v>16.713809294915183</c:v>
                </c:pt>
                <c:pt idx="87">
                  <c:v>16.713079056433362</c:v>
                </c:pt>
                <c:pt idx="88">
                  <c:v>16.712253377572775</c:v>
                </c:pt>
                <c:pt idx="89">
                  <c:v>16.71131980635931</c:v>
                </c:pt>
                <c:pt idx="90">
                  <c:v>16.710264272308319</c:v>
                </c:pt>
                <c:pt idx="91">
                  <c:v>16.709070877741798</c:v>
                </c:pt>
                <c:pt idx="92">
                  <c:v>16.707721662670131</c:v>
                </c:pt>
                <c:pt idx="93">
                  <c:v>16.706196340020103</c:v>
                </c:pt>
                <c:pt idx="94">
                  <c:v>16.704471997637384</c:v>
                </c:pt>
                <c:pt idx="95">
                  <c:v>16.70252276310795</c:v>
                </c:pt>
                <c:pt idx="96">
                  <c:v>16.700319427032387</c:v>
                </c:pt>
                <c:pt idx="97">
                  <c:v>16.697829019951811</c:v>
                </c:pt>
                <c:pt idx="98">
                  <c:v>16.695014337667796</c:v>
                </c:pt>
                <c:pt idx="99">
                  <c:v>16.691833409228526</c:v>
                </c:pt>
                <c:pt idx="100">
                  <c:v>16.688238901379162</c:v>
                </c:pt>
                <c:pt idx="101">
                  <c:v>16.684177452810054</c:v>
                </c:pt>
                <c:pt idx="102">
                  <c:v>16.679588931101339</c:v>
                </c:pt>
                <c:pt idx="103">
                  <c:v>16.674405604882246</c:v>
                </c:pt>
                <c:pt idx="104">
                  <c:v>16.668551223433262</c:v>
                </c:pt>
                <c:pt idx="105">
                  <c:v>16.661939995802481</c:v>
                </c:pt>
                <c:pt idx="106">
                  <c:v>16.654475461542315</c:v>
                </c:pt>
                <c:pt idx="107">
                  <c:v>16.64604924547011</c:v>
                </c:pt>
                <c:pt idx="108">
                  <c:v>16.636539689507135</c:v>
                </c:pt>
                <c:pt idx="109">
                  <c:v>16.625810355764585</c:v>
                </c:pt>
                <c:pt idx="110">
                  <c:v>16.613708396755644</c:v>
                </c:pt>
                <c:pt idx="111">
                  <c:v>16.600062791079853</c:v>
                </c:pt>
                <c:pt idx="112">
                  <c:v>16.584682446332081</c:v>
                </c:pt>
                <c:pt idx="113">
                  <c:v>16.567354175546622</c:v>
                </c:pt>
                <c:pt idx="114">
                  <c:v>16.547840559425989</c:v>
                </c:pt>
                <c:pt idx="115">
                  <c:v>16.525877714170818</c:v>
                </c:pt>
                <c:pt idx="116">
                  <c:v>16.501172994164289</c:v>
                </c:pt>
                <c:pt idx="117">
                  <c:v>16.473402670289964</c:v>
                </c:pt>
                <c:pt idx="118">
                  <c:v>16.442209638439653</c:v>
                </c:pt>
                <c:pt idx="119">
                  <c:v>16.407201228852117</c:v>
                </c:pt>
                <c:pt idx="120">
                  <c:v>16.367947205207166</c:v>
                </c:pt>
                <c:pt idx="121">
                  <c:v>16.323978062530585</c:v>
                </c:pt>
                <c:pt idx="122">
                  <c:v>16.274783754260604</c:v>
                </c:pt>
                <c:pt idx="123">
                  <c:v>16.219813000170046</c:v>
                </c:pt>
                <c:pt idx="124">
                  <c:v>16.158473346597422</c:v>
                </c:pt>
                <c:pt idx="125">
                  <c:v>16.090132166381817</c:v>
                </c:pt>
                <c:pt idx="126">
                  <c:v>16.014118795181975</c:v>
                </c:pt>
                <c:pt idx="127">
                  <c:v>15.929728000103454</c:v>
                </c:pt>
                <c:pt idx="128">
                  <c:v>15.836224962016834</c:v>
                </c:pt>
                <c:pt idx="129">
                  <c:v>15.732851920885054</c:v>
                </c:pt>
                <c:pt idx="130">
                  <c:v>15.618836580624169</c:v>
                </c:pt>
                <c:pt idx="131">
                  <c:v>15.493402294540761</c:v>
                </c:pt>
                <c:pt idx="132">
                  <c:v>15.355779954341555</c:v>
                </c:pt>
                <c:pt idx="133">
                  <c:v>15.205221388111564</c:v>
                </c:pt>
                <c:pt idx="134">
                  <c:v>15.041013942050764</c:v>
                </c:pt>
                <c:pt idx="135">
                  <c:v>14.862495787426662</c:v>
                </c:pt>
                <c:pt idx="136">
                  <c:v>14.669071371701158</c:v>
                </c:pt>
                <c:pt idx="137">
                  <c:v>14.46022633673422</c:v>
                </c:pt>
                <c:pt idx="138">
                  <c:v>14.235541172937481</c:v>
                </c:pt>
                <c:pt idx="139">
                  <c:v>13.994702879213342</c:v>
                </c:pt>
                <c:pt idx="140">
                  <c:v>13.737513962087489</c:v>
                </c:pt>
                <c:pt idx="141">
                  <c:v>13.463898233695883</c:v>
                </c:pt>
                <c:pt idx="142">
                  <c:v>13.173903048704886</c:v>
                </c:pt>
                <c:pt idx="143">
                  <c:v>12.867697838242355</c:v>
                </c:pt>
                <c:pt idx="144">
                  <c:v>12.545569032029478</c:v>
                </c:pt>
                <c:pt idx="145">
                  <c:v>12.207911683240303</c:v>
                </c:pt>
                <c:pt idx="146">
                  <c:v>11.855218300853707</c:v>
                </c:pt>
                <c:pt idx="147">
                  <c:v>11.488065533301237</c:v>
                </c:pt>
                <c:pt idx="148">
                  <c:v>11.107099424680779</c:v>
                </c:pt>
                <c:pt idx="149">
                  <c:v>10.713019978934302</c:v>
                </c:pt>
                <c:pt idx="150">
                  <c:v>10.306565724324042</c:v>
                </c:pt>
                <c:pt idx="151">
                  <c:v>9.88849888229241</c:v>
                </c:pt>
                <c:pt idx="152">
                  <c:v>9.4595916266241069</c:v>
                </c:pt>
                <c:pt idx="153">
                  <c:v>9.0206137865294593</c:v>
                </c:pt>
                <c:pt idx="154">
                  <c:v>8.5723222149885174</c:v>
                </c:pt>
                <c:pt idx="155">
                  <c:v>8.1154519224867308</c:v>
                </c:pt>
                <c:pt idx="156">
                  <c:v>7.6507089734941456</c:v>
                </c:pt>
                <c:pt idx="157">
                  <c:v>7.1787650624344064</c:v>
                </c:pt>
                <c:pt idx="158">
                  <c:v>6.7002536281314251</c:v>
                </c:pt>
                <c:pt idx="159">
                  <c:v>6.2157673292386395</c:v>
                </c:pt>
                <c:pt idx="160">
                  <c:v>5.7258566849447687</c:v>
                </c:pt>
                <c:pt idx="161">
                  <c:v>5.2310296816288959</c:v>
                </c:pt>
                <c:pt idx="162">
                  <c:v>4.7317521533368199</c:v>
                </c:pt>
                <c:pt idx="163">
                  <c:v>4.2284487584781907</c:v>
                </c:pt>
                <c:pt idx="164">
                  <c:v>3.7215043940274843</c:v>
                </c:pt>
                <c:pt idx="165">
                  <c:v>3.2112659094006308</c:v>
                </c:pt>
                <c:pt idx="166">
                  <c:v>2.6980440032945308</c:v>
                </c:pt>
                <c:pt idx="167">
                  <c:v>2.1821152069140703</c:v>
                </c:pt>
                <c:pt idx="168">
                  <c:v>1.663723875399201</c:v>
                </c:pt>
                <c:pt idx="169">
                  <c:v>1.1430841254838875</c:v>
                </c:pt>
                <c:pt idx="170">
                  <c:v>0.62038167133102018</c:v>
                </c:pt>
                <c:pt idx="171">
                  <c:v>9.57755221174479E-2</c:v>
                </c:pt>
                <c:pt idx="172">
                  <c:v>-0.43060048554787866</c:v>
                </c:pt>
                <c:pt idx="173">
                  <c:v>-0.95863633968449369</c:v>
                </c:pt>
                <c:pt idx="174">
                  <c:v>-1.4882447028232551</c:v>
                </c:pt>
                <c:pt idx="175">
                  <c:v>-2.019359968452406</c:v>
                </c:pt>
                <c:pt idx="176">
                  <c:v>-2.5519375292672368</c:v>
                </c:pt>
                <c:pt idx="177">
                  <c:v>-3.0859532597919874</c:v>
                </c:pt>
                <c:pt idx="178">
                  <c:v>-3.6214032138669401</c:v>
                </c:pt>
                <c:pt idx="179">
                  <c:v>-4.1583035357651701</c:v>
                </c:pt>
                <c:pt idx="180">
                  <c:v>-4.6966905821040843</c:v>
                </c:pt>
                <c:pt idx="181">
                  <c:v>-5.2366212500149878</c:v>
                </c:pt>
                <c:pt idx="182">
                  <c:v>-5.7781735050116012</c:v>
                </c:pt>
                <c:pt idx="183">
                  <c:v>-6.3214470994189265</c:v>
                </c:pt>
                <c:pt idx="184">
                  <c:v>-6.866564468854329</c:v>
                </c:pt>
                <c:pt idx="185">
                  <c:v>-7.413671789834436</c:v>
                </c:pt>
                <c:pt idx="186">
                  <c:v>-7.9629401758698881</c:v>
                </c:pt>
                <c:pt idx="187">
                  <c:v>-8.5145669821305816</c:v>
                </c:pt>
                <c:pt idx="188">
                  <c:v>-9.0687771796847123</c:v>
                </c:pt>
                <c:pt idx="189">
                  <c:v>-9.6258247492123328</c:v>
                </c:pt>
                <c:pt idx="190">
                  <c:v>-10.185994030831029</c:v>
                </c:pt>
                <c:pt idx="191">
                  <c:v>-10.749600951213687</c:v>
                </c:pt>
                <c:pt idx="192">
                  <c:v>-11.316994031675346</c:v>
                </c:pt>
                <c:pt idx="193">
                  <c:v>-11.888555061757224</c:v>
                </c:pt>
                <c:pt idx="194">
                  <c:v>-12.464699302789718</c:v>
                </c:pt>
                <c:pt idx="195">
                  <c:v>-13.045875066160226</c:v>
                </c:pt>
                <c:pt idx="196">
                  <c:v>-13.632562493283313</c:v>
                </c:pt>
                <c:pt idx="197">
                  <c:v>-14.22527135090567</c:v>
                </c:pt>
                <c:pt idx="198">
                  <c:v>-14.824537649362014</c:v>
                </c:pt>
                <c:pt idx="199">
                  <c:v>-15.430918896271645</c:v>
                </c:pt>
                <c:pt idx="200">
                  <c:v>-16.044987817865536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429632"/>
        <c:axId val="101431552"/>
      </c:scatterChart>
      <c:valAx>
        <c:axId val="101429632"/>
        <c:scaling>
          <c:logBase val="10"/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 (Hz)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1431552"/>
        <c:crosses val="autoZero"/>
        <c:crossBetween val="midCat"/>
      </c:valAx>
      <c:valAx>
        <c:axId val="1014315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Gain (dB)
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142963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Phase of Vloop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'Design tool'!$AT$1</c:f>
              <c:strCache>
                <c:ptCount val="1"/>
                <c:pt idx="0">
                  <c:v>°</c:v>
                </c:pt>
              </c:strCache>
            </c:strRef>
          </c:tx>
          <c:marker>
            <c:symbol val="none"/>
          </c:marker>
          <c:xVal>
            <c:numRef>
              <c:f>'Design tool'!$Z$2:$Z$202</c:f>
              <c:numCache>
                <c:formatCode>General</c:formatCode>
                <c:ptCount val="201"/>
                <c:pt idx="0">
                  <c:v>1</c:v>
                </c:pt>
                <c:pt idx="1">
                  <c:v>1.0634378492473788</c:v>
                </c:pt>
                <c:pt idx="2">
                  <c:v>1.1309000592118907</c:v>
                </c:pt>
                <c:pt idx="3">
                  <c:v>1.2026419266820265</c:v>
                </c:pt>
                <c:pt idx="4">
                  <c:v>1.278934943925458</c:v>
                </c:pt>
                <c:pt idx="5">
                  <c:v>1.3600678260954062</c:v>
                </c:pt>
                <c:pt idx="6">
                  <c:v>1.4463476038134566</c:v>
                </c:pt>
                <c:pt idx="7">
                  <c:v>1.5381007850634825</c:v>
                </c:pt>
                <c:pt idx="8">
                  <c:v>1.6356745907936145</c:v>
                </c:pt>
                <c:pt idx="9">
                  <c:v>1.7394382689021479</c:v>
                </c:pt>
                <c:pt idx="10">
                  <c:v>1.849784491579884</c:v>
                </c:pt>
                <c:pt idx="11">
                  <c:v>1.967130841296868</c:v>
                </c:pt>
                <c:pt idx="12">
                  <c:v>2.0919213910569279</c:v>
                </c:pt>
                <c:pt idx="13">
                  <c:v>2.2246283849001642</c:v>
                </c:pt>
                <c:pt idx="14">
                  <c:v>2.365754025012901</c:v>
                </c:pt>
                <c:pt idx="15">
                  <c:v>2.5158323722080485</c:v>
                </c:pt>
                <c:pt idx="16">
                  <c:v>2.6754313669678584</c:v>
                </c:pt>
                <c:pt idx="17">
                  <c:v>2.8451549786972743</c:v>
                </c:pt>
                <c:pt idx="18">
                  <c:v>3.0256454913213009</c:v>
                </c:pt>
                <c:pt idx="19">
                  <c:v>3.2175859338757533</c:v>
                </c:pt>
                <c:pt idx="20">
                  <c:v>3.42170266528945</c:v>
                </c:pt>
                <c:pt idx="21">
                  <c:v>3.6387681231394358</c:v>
                </c:pt>
                <c:pt idx="22">
                  <c:v>3.8696037467813236</c:v>
                </c:pt>
                <c:pt idx="23">
                  <c:v>4.1150830859167291</c:v>
                </c:pt>
                <c:pt idx="24">
                  <c:v>4.376135106361553</c:v>
                </c:pt>
                <c:pt idx="25">
                  <c:v>4.6537477055250784</c:v>
                </c:pt>
                <c:pt idx="26">
                  <c:v>4.9489714509035139</c:v>
                </c:pt>
                <c:pt idx="27">
                  <c:v>5.2629235557355134</c:v>
                </c:pt>
                <c:pt idx="28">
                  <c:v>5.5967921068647417</c:v>
                </c:pt>
                <c:pt idx="29">
                  <c:v>5.9518405608089449</c:v>
                </c:pt>
                <c:pt idx="30">
                  <c:v>6.3294125250499764</c:v>
                </c:pt>
                <c:pt idx="31">
                  <c:v>6.7309368426385694</c:v>
                </c:pt>
                <c:pt idx="32">
                  <c:v>7.1579329993555039</c:v>
                </c:pt>
                <c:pt idx="33">
                  <c:v>7.6120168738914558</c:v>
                </c:pt>
                <c:pt idx="34">
                  <c:v>8.0949068528058863</c:v>
                </c:pt>
                <c:pt idx="35">
                  <c:v>8.6084303334057619</c:v>
                </c:pt>
                <c:pt idx="36">
                  <c:v>9.1545306391529166</c:v>
                </c:pt>
                <c:pt idx="37">
                  <c:v>9.7352743737700074</c:v>
                </c:pt>
                <c:pt idx="38">
                  <c:v>10.352859241875105</c:v>
                </c:pt>
                <c:pt idx="39">
                  <c:v>11.009622365740512</c:v>
                </c:pt>
                <c:pt idx="40">
                  <c:v>11.708049129648925</c:v>
                </c:pt>
                <c:pt idx="41">
                  <c:v>12.4507825853165</c:v>
                </c:pt>
                <c:pt idx="42">
                  <c:v>13.240633453975693</c:v>
                </c:pt>
                <c:pt idx="43">
                  <c:v>14.080590762968805</c:v>
                </c:pt>
                <c:pt idx="44">
                  <c:v>14.973833157104059</c:v>
                </c:pt>
                <c:pt idx="45">
                  <c:v>15.923740927579823</c:v>
                </c:pt>
                <c:pt idx="46">
                  <c:v>16.933908803997952</c:v>
                </c:pt>
                <c:pt idx="47">
                  <c:v>18.008159557874837</c:v>
                </c:pt>
                <c:pt idx="48">
                  <c:v>19.150558469130036</c:v>
                </c:pt>
                <c:pt idx="49">
                  <c:v>20.365428710297824</c:v>
                </c:pt>
                <c:pt idx="50">
                  <c:v>21.657367706679931</c:v>
                </c:pt>
                <c:pt idx="51">
                  <c:v>23.031264534351347</c:v>
                </c:pt>
                <c:pt idx="52">
                  <c:v>24.492318421858034</c:v>
                </c:pt>
                <c:pt idx="53">
                  <c:v>26.046058425622668</c:v>
                </c:pt>
                <c:pt idx="54">
                  <c:v>27.698364353515743</c:v>
                </c:pt>
                <c:pt idx="55">
                  <c:v>29.45548901577305</c:v>
                </c:pt>
                <c:pt idx="56">
                  <c:v>31.324081887463471</c:v>
                </c:pt>
                <c:pt idx="57">
                  <c:v>33.311214272052936</c:v>
                </c:pt>
                <c:pt idx="58">
                  <c:v>35.424406061290533</c:v>
                </c:pt>
                <c:pt idx="59">
                  <c:v>37.67165419268462</c:v>
                </c:pt>
                <c:pt idx="60">
                  <c:v>40.061462912259522</c:v>
                </c:pt>
                <c:pt idx="61">
                  <c:v>42.602875957116908</c:v>
                </c:pt>
                <c:pt idx="62">
                  <c:v>45.305510779589277</c:v>
                </c:pt>
                <c:pt idx="63">
                  <c:v>48.179594942500358</c:v>
                </c:pt>
                <c:pt idx="64">
                  <c:v>51.236004823262483</c:v>
                </c:pt>
                <c:pt idx="65">
                  <c:v>54.486306773278585</c:v>
                </c:pt>
                <c:pt idx="66">
                  <c:v>57.94280088840825</c:v>
                </c:pt>
                <c:pt idx="67">
                  <c:v>61.61856755613799</c:v>
                </c:pt>
                <c:pt idx="68">
                  <c:v>65.527516955603716</c:v>
                </c:pt>
                <c:pt idx="69">
                  <c:v>69.684441697788372</c:v>
                </c:pt>
                <c:pt idx="70">
                  <c:v>74.105072805100434</c:v>
                </c:pt>
                <c:pt idx="71">
                  <c:v>78.806139242176371</c:v>
                </c:pt>
                <c:pt idx="72">
                  <c:v>83.805431223189501</c:v>
                </c:pt>
                <c:pt idx="73">
                  <c:v>89.121867535237712</c:v>
                </c:pt>
                <c:pt idx="74">
                  <c:v>94.775567132582992</c:v>
                </c:pt>
                <c:pt idx="75">
                  <c:v>100.78792527267464</c:v>
                </c:pt>
                <c:pt idx="76">
                  <c:v>107.18169448207877</c:v>
                </c:pt>
                <c:pt idx="77">
                  <c:v>113.98107065871142</c:v>
                </c:pt>
                <c:pt idx="78">
                  <c:v>121.21178463621371</c:v>
                </c:pt>
                <c:pt idx="79">
                  <c:v>128.90119955697148</c:v>
                </c:pt>
                <c:pt idx="80">
                  <c:v>137.07841442227294</c:v>
                </c:pt>
                <c:pt idx="81">
                  <c:v>145.77437421146283</c:v>
                </c:pt>
                <c:pt idx="82">
                  <c:v>155.02198698682062</c:v>
                </c:pt>
                <c:pt idx="83">
                  <c:v>164.85624842731968</c:v>
                </c:pt>
                <c:pt idx="84">
                  <c:v>175.3143742625403</c:v>
                </c:pt>
                <c:pt idx="85">
                  <c:v>186.43594110790573</c:v>
                </c:pt>
                <c:pt idx="86">
                  <c:v>198.26303623420247</c:v>
                </c:pt>
                <c:pt idx="87">
                  <c:v>210.84041683815525</c:v>
                </c:pt>
                <c:pt idx="88">
                  <c:v>224.21567941678887</c:v>
                </c:pt>
                <c:pt idx="89">
                  <c:v>238.43943988652958</c:v>
                </c:pt>
                <c:pt idx="90">
                  <c:v>253.56552512868072</c:v>
                </c:pt>
                <c:pt idx="91">
                  <c:v>269.65117668612646</c:v>
                </c:pt>
                <c:pt idx="92">
                  <c:v>286.75726738211927</c:v>
                </c:pt>
                <c:pt idx="93">
                  <c:v>304.94853168089651</c:v>
                </c:pt>
                <c:pt idx="94">
                  <c:v>324.29381066187881</c:v>
                </c:pt>
                <c:pt idx="95">
                  <c:v>344.8663125345048</c:v>
                </c:pt>
                <c:pt idx="96">
                  <c:v>366.74388967956821</c:v>
                </c:pt>
                <c:pt idx="97">
                  <c:v>390.00933326545766</c:v>
                </c:pt>
                <c:pt idx="98">
                  <c:v>414.75068655422291</c:v>
                </c:pt>
                <c:pt idx="99">
                  <c:v>441.06157808309626</c:v>
                </c:pt>
                <c:pt idx="100">
                  <c:v>469.04157598234281</c:v>
                </c:pt>
                <c:pt idx="101">
                  <c:v>498.79656477026373</c:v>
                </c:pt>
                <c:pt idx="102">
                  <c:v>530.4391460512702</c:v>
                </c:pt>
                <c:pt idx="103">
                  <c:v>564.08906463337905</c:v>
                </c:pt>
                <c:pt idx="104">
                  <c:v>599.87366167768641</c:v>
                </c:pt>
                <c:pt idx="105">
                  <c:v>637.92835659466812</c:v>
                </c:pt>
                <c:pt idx="106">
                  <c:v>678.39715951094945</c:v>
                </c:pt>
                <c:pt idx="107">
                  <c:v>721.43321624585462</c:v>
                </c:pt>
                <c:pt idx="108">
                  <c:v>767.19938786011153</c:v>
                </c:pt>
                <c:pt idx="109">
                  <c:v>815.86886696986198</c:v>
                </c:pt>
                <c:pt idx="110">
                  <c:v>867.62583315832671</c:v>
                </c:pt>
                <c:pt idx="111">
                  <c:v>922.66614996535543</c:v>
                </c:pt>
                <c:pt idx="112">
                  <c:v>981.19810609251715</c:v>
                </c:pt>
                <c:pt idx="113">
                  <c:v>1043.443203628628</c:v>
                </c:pt>
                <c:pt idx="114">
                  <c:v>1109.6369962786232</c:v>
                </c:pt>
                <c:pt idx="115">
                  <c:v>1180.0299807678607</c:v>
                </c:pt>
                <c:pt idx="116">
                  <c:v>1254.8885447951977</c:v>
                </c:pt>
                <c:pt idx="117">
                  <c:v>1334.4959751221782</c:v>
                </c:pt>
                <c:pt idx="118">
                  <c:v>1419.1535296132129</c:v>
                </c:pt>
                <c:pt idx="119">
                  <c:v>1509.1815772837017</c:v>
                </c:pt>
                <c:pt idx="120">
                  <c:v>1604.9208106703452</c:v>
                </c:pt>
                <c:pt idx="121">
                  <c:v>1706.7335351116335</c:v>
                </c:pt>
                <c:pt idx="122">
                  <c:v>1815.0050398174897</c:v>
                </c:pt>
                <c:pt idx="123">
                  <c:v>1930.1450559166665</c:v>
                </c:pt>
                <c:pt idx="124">
                  <c:v>2052.58930699948</c:v>
                </c:pt>
                <c:pt idx="125">
                  <c:v>2182.8011580236971</c:v>
                </c:pt>
                <c:pt idx="126">
                  <c:v>2321.2733688234066</c:v>
                </c:pt>
                <c:pt idx="127">
                  <c:v>2468.5299588567814</c:v>
                </c:pt>
                <c:pt idx="128">
                  <c:v>2625.1281902493761</c:v>
                </c:pt>
                <c:pt idx="129">
                  <c:v>2791.6606766374607</c:v>
                </c:pt>
                <c:pt idx="130">
                  <c:v>2968.757625791824</c:v>
                </c:pt>
                <c:pt idx="131">
                  <c:v>3157.0892245088098</c:v>
                </c:pt>
                <c:pt idx="132">
                  <c:v>3357.3681747937244</c:v>
                </c:pt>
                <c:pt idx="133">
                  <c:v>3570.3523909342362</c:v>
                </c:pt>
                <c:pt idx="134">
                  <c:v>3796.8478676703417</c:v>
                </c:pt>
                <c:pt idx="135">
                  <c:v>4037.7117303148448</c:v>
                </c:pt>
                <c:pt idx="136">
                  <c:v>4293.8554783669315</c:v>
                </c:pt>
                <c:pt idx="137">
                  <c:v>4566.248434893605</c:v>
                </c:pt>
                <c:pt idx="138">
                  <c:v>4855.9214147324665</c:v>
                </c:pt>
                <c:pt idx="139">
                  <c:v>5163.9706253973836</c:v>
                </c:pt>
                <c:pt idx="140">
                  <c:v>5491.5618154492358</c:v>
                </c:pt>
                <c:pt idx="141">
                  <c:v>5839.9346860303567</c:v>
                </c:pt>
                <c:pt idx="142">
                  <c:v>6210.4075822572904</c:v>
                </c:pt>
                <c:pt idx="143">
                  <c:v>6604.3824822253073</c:v>
                </c:pt>
                <c:pt idx="144">
                  <c:v>7023.3503025047467</c:v>
                </c:pt>
                <c:pt idx="145">
                  <c:v>7468.8965402065769</c:v>
                </c:pt>
                <c:pt idx="146">
                  <c:v>7942.7072729684578</c:v>
                </c:pt>
                <c:pt idx="147">
                  <c:v>8446.5755395671058</c:v>
                </c:pt>
                <c:pt idx="148">
                  <c:v>8982.4081253027471</c:v>
                </c:pt>
                <c:pt idx="149">
                  <c:v>9552.2327778341514</c:v>
                </c:pt>
                <c:pt idx="150">
                  <c:v>10158.205880770249</c:v>
                </c:pt>
                <c:pt idx="151">
                  <c:v>10802.620614058389</c:v>
                </c:pt>
                <c:pt idx="152">
                  <c:v>11487.915632049675</c:v>
                </c:pt>
                <c:pt idx="153">
                  <c:v>12216.684292082227</c:v>
                </c:pt>
                <c:pt idx="154">
                  <c:v>12991.684468506162</c:v>
                </c:pt>
                <c:pt idx="155">
                  <c:v>13815.848989288772</c:v>
                </c:pt>
                <c:pt idx="156">
                  <c:v>14692.296734695852</c:v>
                </c:pt>
                <c:pt idx="157">
                  <c:v>15624.344440049217</c:v>
                </c:pt>
                <c:pt idx="158">
                  <c:v>16615.519247226184</c:v>
                </c:pt>
                <c:pt idx="159">
                  <c:v>17669.572052398642</c:v>
                </c:pt>
                <c:pt idx="160">
                  <c:v>18790.49170052441</c:v>
                </c:pt>
                <c:pt idx="161">
                  <c:v>19982.5200803064</c:v>
                </c:pt>
                <c:pt idx="162">
                  <c:v>21250.168176743602</c:v>
                </c:pt>
                <c:pt idx="163">
                  <c:v>22598.233142021272</c:v>
                </c:pt>
                <c:pt idx="164">
                  <c:v>24031.816449341983</c:v>
                </c:pt>
                <c:pt idx="165">
                  <c:v>25556.343198396022</c:v>
                </c:pt>
                <c:pt idx="166">
                  <c:v>27177.582645530147</c:v>
                </c:pt>
                <c:pt idx="167">
                  <c:v>28901.670036305419</c:v>
                </c:pt>
                <c:pt idx="168">
                  <c:v>30735.129823066054</c:v>
                </c:pt>
                <c:pt idx="169">
                  <c:v>32684.900355380338</c:v>
                </c:pt>
                <c:pt idx="170">
                  <c:v>34758.360136790499</c:v>
                </c:pt>
                <c:pt idx="171">
                  <c:v>36963.355747234389</c:v>
                </c:pt>
                <c:pt idx="172">
                  <c:v>39308.231536804677</c:v>
                </c:pt>
                <c:pt idx="173">
                  <c:v>41801.861203217486</c:v>
                </c:pt>
                <c:pt idx="174">
                  <c:v>44453.681372487059</c:v>
                </c:pt>
                <c:pt idx="175">
                  <c:v>47273.727309885995</c:v>
                </c:pt>
                <c:pt idx="176">
                  <c:v>50272.670896332245</c:v>
                </c:pt>
                <c:pt idx="177">
                  <c:v>53461.861013916772</c:v>
                </c:pt>
                <c:pt idx="178">
                  <c:v>56853.366493401947</c:v>
                </c:pt>
                <c:pt idx="179">
                  <c:v>60460.02178621637</c:v>
                </c:pt>
                <c:pt idx="180">
                  <c:v>64295.47553378361</c:v>
                </c:pt>
                <c:pt idx="181">
                  <c:v>68374.242217984312</c:v>
                </c:pt>
                <c:pt idx="182">
                  <c:v>72711.757088212587</c:v>
                </c:pt>
                <c:pt idx="183">
                  <c:v>77324.434572886516</c:v>
                </c:pt>
                <c:pt idx="184">
                  <c:v>82229.730396460247</c:v>
                </c:pt>
                <c:pt idx="185">
                  <c:v>87446.207637003507</c:v>
                </c:pt>
                <c:pt idx="186">
                  <c:v>92993.606974334747</c:v>
                </c:pt>
                <c:pt idx="187">
                  <c:v>98892.921394542427</c:v>
                </c:pt>
                <c:pt idx="188">
                  <c:v>105166.47563360249</c:v>
                </c:pt>
                <c:pt idx="189">
                  <c:v>111838.01066072512</c:v>
                </c:pt>
                <c:pt idx="190">
                  <c:v>118932.77352114675</c:v>
                </c:pt>
                <c:pt idx="191">
                  <c:v>126477.61287835392</c:v>
                </c:pt>
                <c:pt idx="192">
                  <c:v>134501.0806172993</c:v>
                </c:pt>
                <c:pt idx="193">
                  <c:v>143033.53989310883</c:v>
                </c:pt>
                <c:pt idx="194">
                  <c:v>152107.28003416685</c:v>
                </c:pt>
                <c:pt idx="195">
                  <c:v>161756.63873440344</c:v>
                </c:pt>
                <c:pt idx="196">
                  <c:v>172018.13199719929</c:v>
                </c:pt>
                <c:pt idx="197">
                  <c:v>182930.59232265301</c:v>
                </c:pt>
                <c:pt idx="198">
                  <c:v>194535.31566115122</c:v>
                </c:pt>
                <c:pt idx="199">
                  <c:v>206876.21768935499</c:v>
                </c:pt>
                <c:pt idx="200">
                  <c:v>219999.99999999985</c:v>
                </c:pt>
              </c:numCache>
            </c:numRef>
          </c:xVal>
          <c:yVal>
            <c:numRef>
              <c:f>'Design tool'!$AT$2:$AT$202</c:f>
              <c:numCache>
                <c:formatCode>General</c:formatCode>
                <c:ptCount val="201"/>
                <c:pt idx="0">
                  <c:v>178.50611072476823</c:v>
                </c:pt>
                <c:pt idx="1">
                  <c:v>178.41138849104024</c:v>
                </c:pt>
                <c:pt idx="2">
                  <c:v>178.31066677779384</c:v>
                </c:pt>
                <c:pt idx="3">
                  <c:v>178.20356691279051</c:v>
                </c:pt>
                <c:pt idx="4">
                  <c:v>178.08968659025729</c:v>
                </c:pt>
                <c:pt idx="5">
                  <c:v>177.9685984500791</c:v>
                </c:pt>
                <c:pt idx="6">
                  <c:v>177.83984858264938</c:v>
                </c:pt>
                <c:pt idx="7">
                  <c:v>177.70295495782429</c:v>
                </c:pt>
                <c:pt idx="8">
                  <c:v>177.55740577695437</c:v>
                </c:pt>
                <c:pt idx="9">
                  <c:v>177.40265774765228</c:v>
                </c:pt>
                <c:pt idx="10">
                  <c:v>177.23813428182658</c:v>
                </c:pt>
                <c:pt idx="11">
                  <c:v>177.06322361861245</c:v>
                </c:pt>
                <c:pt idx="12">
                  <c:v>176.87727687520501</c:v>
                </c:pt>
                <c:pt idx="13">
                  <c:v>176.67960603030144</c:v>
                </c:pt>
                <c:pt idx="14">
                  <c:v>176.46948184695435</c:v>
                </c:pt>
                <c:pt idx="15">
                  <c:v>176.2461317441979</c:v>
                </c:pt>
                <c:pt idx="16">
                  <c:v>176.00873762992489</c:v>
                </c:pt>
                <c:pt idx="17">
                  <c:v>175.75643371125949</c:v>
                </c:pt>
                <c:pt idx="18">
                  <c:v>175.48830430320814</c:v>
                </c:pt>
                <c:pt idx="19">
                  <c:v>175.20338166180727</c:v>
                </c:pt>
                <c:pt idx="20">
                  <c:v>174.90064387446986</c:v>
                </c:pt>
                <c:pt idx="21">
                  <c:v>174.57901284792393</c:v>
                </c:pt>
                <c:pt idx="22">
                  <c:v>174.2373524432181</c:v>
                </c:pt>
                <c:pt idx="23">
                  <c:v>173.87446681792673</c:v>
                </c:pt>
                <c:pt idx="24">
                  <c:v>173.48909904812189</c:v>
                </c:pt>
                <c:pt idx="25">
                  <c:v>173.07993011708695</c:v>
                </c:pt>
                <c:pt idx="26">
                  <c:v>172.6455783743049</c:v>
                </c:pt>
                <c:pt idx="27">
                  <c:v>172.18459958712262</c:v>
                </c:pt>
                <c:pt idx="28">
                  <c:v>171.69548772875041</c:v>
                </c:pt>
                <c:pt idx="29">
                  <c:v>171.17667666991295</c:v>
                </c:pt>
                <c:pt idx="30">
                  <c:v>170.62654296737446</c:v>
                </c:pt>
                <c:pt idx="31">
                  <c:v>170.04340997037295</c:v>
                </c:pt>
                <c:pt idx="32">
                  <c:v>169.42555349509814</c:v>
                </c:pt>
                <c:pt idx="33">
                  <c:v>168.77120934672951</c:v>
                </c:pt>
                <c:pt idx="34">
                  <c:v>168.07858299673921</c:v>
                </c:pt>
                <c:pt idx="35">
                  <c:v>167.34586174806114</c:v>
                </c:pt>
                <c:pt idx="36">
                  <c:v>166.57122973948495</c:v>
                </c:pt>
                <c:pt idx="37">
                  <c:v>165.7528861495436</c:v>
                </c:pt>
                <c:pt idx="38">
                  <c:v>164.88906695450714</c:v>
                </c:pt>
                <c:pt idx="39">
                  <c:v>163.9780705691559</c:v>
                </c:pt>
                <c:pt idx="40">
                  <c:v>163.01828764606938</c:v>
                </c:pt>
                <c:pt idx="41">
                  <c:v>162.00823522177609</c:v>
                </c:pt>
                <c:pt idx="42">
                  <c:v>160.94659526847977</c:v>
                </c:pt>
                <c:pt idx="43">
                  <c:v>159.83225753088757</c:v>
                </c:pt>
                <c:pt idx="44">
                  <c:v>158.66436629312042</c:v>
                </c:pt>
                <c:pt idx="45">
                  <c:v>157.44237042811099</c:v>
                </c:pt>
                <c:pt idx="46">
                  <c:v>156.16607573358394</c:v>
                </c:pt>
                <c:pt idx="47">
                  <c:v>154.83569816410682</c:v>
                </c:pt>
                <c:pt idx="48">
                  <c:v>153.45191614649931</c:v>
                </c:pt>
                <c:pt idx="49">
                  <c:v>152.01591974568569</c:v>
                </c:pt>
                <c:pt idx="50">
                  <c:v>150.52945407090473</c:v>
                </c:pt>
                <c:pt idx="51">
                  <c:v>148.99485402928653</c:v>
                </c:pt>
                <c:pt idx="52">
                  <c:v>147.41506740289879</c:v>
                </c:pt>
                <c:pt idx="53">
                  <c:v>145.79366330404548</c:v>
                </c:pt>
                <c:pt idx="54">
                  <c:v>144.13482340023455</c:v>
                </c:pt>
                <c:pt idx="55">
                  <c:v>142.44331392273585</c:v>
                </c:pt>
                <c:pt idx="56">
                  <c:v>140.72443737796121</c:v>
                </c:pt>
                <c:pt idx="57">
                  <c:v>138.98396402661743</c:v>
                </c:pt>
                <c:pt idx="58">
                  <c:v>137.22804449770842</c:v>
                </c:pt>
                <c:pt idx="59">
                  <c:v>135.46310624251998</c:v>
                </c:pt>
                <c:pt idx="60">
                  <c:v>133.69573776461112</c:v>
                </c:pt>
                <c:pt idx="61">
                  <c:v>131.93256554052778</c:v>
                </c:pt>
                <c:pt idx="62">
                  <c:v>130.18012914950907</c:v>
                </c:pt>
                <c:pt idx="63">
                  <c:v>128.44476028008546</c:v>
                </c:pt>
                <c:pt idx="64">
                  <c:v>126.73247095726178</c:v>
                </c:pt>
                <c:pt idx="65">
                  <c:v>125.04885557888245</c:v>
                </c:pt>
                <c:pt idx="66">
                  <c:v>123.3990102611593</c:v>
                </c:pt>
                <c:pt idx="67">
                  <c:v>121.78747170521285</c:v>
                </c:pt>
                <c:pt idx="68">
                  <c:v>120.21817645587525</c:v>
                </c:pt>
                <c:pt idx="69">
                  <c:v>118.69444016767883</c:v>
                </c:pt>
                <c:pt idx="70">
                  <c:v>117.21895542903607</c:v>
                </c:pt>
                <c:pt idx="71">
                  <c:v>115.79380589276271</c:v>
                </c:pt>
                <c:pt idx="72">
                  <c:v>114.42049394641214</c:v>
                </c:pt>
                <c:pt idx="73">
                  <c:v>113.09997891981736</c:v>
                </c:pt>
                <c:pt idx="74">
                  <c:v>111.83272283285768</c:v>
                </c:pt>
                <c:pt idx="75">
                  <c:v>110.61874088083185</c:v>
                </c:pt>
                <c:pt idx="76">
                  <c:v>109.45765417929083</c:v>
                </c:pt>
                <c:pt idx="77">
                  <c:v>108.34874268885395</c:v>
                </c:pt>
                <c:pt idx="78">
                  <c:v>107.2909966656849</c:v>
                </c:pt>
                <c:pt idx="79">
                  <c:v>106.28316539810078</c:v>
                </c:pt>
                <c:pt idx="80">
                  <c:v>105.3238023688622</c:v>
                </c:pt>
                <c:pt idx="81">
                  <c:v>104.41130631098775</c:v>
                </c:pt>
                <c:pt idx="82">
                  <c:v>103.54395789595405</c:v>
                </c:pt>
                <c:pt idx="83">
                  <c:v>102.71995200667297</c:v>
                </c:pt>
                <c:pt idx="84">
                  <c:v>101.9374257077243</c:v>
                </c:pt>
                <c:pt idx="85">
                  <c:v>101.1944821384988</c:v>
                </c:pt>
                <c:pt idx="86">
                  <c:v>100.48921062876909</c:v>
                </c:pt>
                <c:pt idx="87">
                  <c:v>99.819703378519137</c:v>
                </c:pt>
                <c:pt idx="88">
                  <c:v>99.18406906182193</c:v>
                </c:pt>
                <c:pt idx="89">
                  <c:v>98.580443714568418</c:v>
                </c:pt>
                <c:pt idx="90">
                  <c:v>98.006999253245056</c:v>
                </c:pt>
                <c:pt idx="91">
                  <c:v>97.461949951108082</c:v>
                </c:pt>
                <c:pt idx="92">
                  <c:v>96.943557172381034</c:v>
                </c:pt>
                <c:pt idx="93">
                  <c:v>96.450132637107586</c:v>
                </c:pt>
                <c:pt idx="94">
                  <c:v>95.980040460881241</c:v>
                </c:pt>
                <c:pt idx="95">
                  <c:v>95.531698186176271</c:v>
                </c:pt>
                <c:pt idx="96">
                  <c:v>95.103576996303744</c:v>
                </c:pt>
                <c:pt idx="97">
                  <c:v>94.694201279652475</c:v>
                </c:pt>
                <c:pt idx="98">
                  <c:v>94.302147691167249</c:v>
                </c:pt>
                <c:pt idx="99">
                  <c:v>93.926043840085839</c:v>
                </c:pt>
                <c:pt idx="100">
                  <c:v>93.564566717832292</c:v>
                </c:pt>
                <c:pt idx="101">
                  <c:v>93.216440967578578</c:v>
                </c:pt>
                <c:pt idx="102">
                  <c:v>92.880437087242569</c:v>
                </c:pt>
                <c:pt idx="103">
                  <c:v>92.555369650454963</c:v>
                </c:pt>
                <c:pt idx="104">
                  <c:v>92.240095625160407</c:v>
                </c:pt>
                <c:pt idx="105">
                  <c:v>91.933512866869179</c:v>
                </c:pt>
                <c:pt idx="106">
                  <c:v>91.634558862979247</c:v>
                </c:pt>
                <c:pt idx="107">
                  <c:v>91.342209805875029</c:v>
                </c:pt>
                <c:pt idx="108">
                  <c:v>91.055480075455307</c:v>
                </c:pt>
                <c:pt idx="109">
                  <c:v>90.773422216099462</c:v>
                </c:pt>
                <c:pt idx="110">
                  <c:v>90.495127498491371</c:v>
                </c:pt>
                <c:pt idx="111">
                  <c:v>90.219727162730351</c:v>
                </c:pt>
                <c:pt idx="112">
                  <c:v>89.946394445145657</c:v>
                </c:pt>
                <c:pt idx="113">
                  <c:v>89.674347496358067</c:v>
                </c:pt>
                <c:pt idx="114">
                  <c:v>89.402853301287124</c:v>
                </c:pt>
                <c:pt idx="115">
                  <c:v>89.131232711540306</c:v>
                </c:pt>
                <c:pt idx="116">
                  <c:v>88.858866695084487</c:v>
                </c:pt>
                <c:pt idx="117">
                  <c:v>88.585203894991167</c:v>
                </c:pt>
                <c:pt idx="118">
                  <c:v>88.309769565558781</c:v>
                </c:pt>
                <c:pt idx="119">
                  <c:v>88.032175917021448</c:v>
                </c:pt>
                <c:pt idx="120">
                  <c:v>87.752133845721005</c:v>
                </c:pt>
                <c:pt idx="121">
                  <c:v>87.469465951304315</c:v>
                </c:pt>
                <c:pt idx="122">
                  <c:v>87.18412064269171</c:v>
                </c:pt>
                <c:pt idx="123">
                  <c:v>86.896187007544199</c:v>
                </c:pt>
                <c:pt idx="124">
                  <c:v>86.605909964720439</c:v>
                </c:pt>
                <c:pt idx="125">
                  <c:v>86.313705037472815</c:v>
                </c:pt>
                <c:pt idx="126">
                  <c:v>86.020171882695735</c:v>
                </c:pt>
                <c:pt idx="127">
                  <c:v>85.72610549971759</c:v>
                </c:pt>
                <c:pt idx="128">
                  <c:v>85.432503838980097</c:v>
                </c:pt>
                <c:pt idx="129">
                  <c:v>85.140570362166173</c:v>
                </c:pt>
                <c:pt idx="130">
                  <c:v>84.851710003923472</c:v>
                </c:pt>
                <c:pt idx="131">
                  <c:v>84.567516989932912</c:v>
                </c:pt>
                <c:pt idx="132">
                  <c:v>84.289753117019458</c:v>
                </c:pt>
                <c:pt idx="133">
                  <c:v>84.020315434056229</c:v>
                </c:pt>
                <c:pt idx="134">
                  <c:v>83.761192800315243</c:v>
                </c:pt>
                <c:pt idx="135">
                  <c:v>83.51441154063609</c:v>
                </c:pt>
                <c:pt idx="136">
                  <c:v>83.281971332599937</c:v>
                </c:pt>
                <c:pt idx="137">
                  <c:v>83.065773480500638</c:v>
                </c:pt>
                <c:pt idx="138">
                  <c:v>82.867544748002388</c:v>
                </c:pt>
                <c:pt idx="139">
                  <c:v>82.688760801587236</c:v>
                </c:pt>
                <c:pt idx="140">
                  <c:v>82.530573916035848</c:v>
                </c:pt>
                <c:pt idx="141">
                  <c:v>82.393749782732044</c:v>
                </c:pt>
                <c:pt idx="142">
                  <c:v>82.278617956869255</c:v>
                </c:pt>
                <c:pt idx="143">
                  <c:v>82.18503966364969</c:v>
                </c:pt>
                <c:pt idx="144">
                  <c:v>82.112395419539737</c:v>
                </c:pt>
                <c:pt idx="145">
                  <c:v>82.059593352164697</c:v>
                </c:pt>
                <c:pt idx="146">
                  <c:v>82.025097416362684</c:v>
                </c:pt>
                <c:pt idx="147">
                  <c:v>82.006973119821993</c:v>
                </c:pt>
                <c:pt idx="148">
                  <c:v>82.002947086644781</c:v>
                </c:pt>
                <c:pt idx="149">
                  <c:v>82.010475944344662</c:v>
                </c:pt>
                <c:pt idx="150">
                  <c:v>82.026819686878042</c:v>
                </c:pt>
                <c:pt idx="151">
                  <c:v>82.049114830577793</c:v>
                </c:pt>
                <c:pt idx="152">
                  <c:v>82.074443259676698</c:v>
                </c:pt>
                <c:pt idx="153">
                  <c:v>82.099893526779198</c:v>
                </c:pt>
                <c:pt idx="154">
                  <c:v>82.12261238699412</c:v>
                </c:pt>
                <c:pt idx="155">
                  <c:v>82.139845367170111</c:v>
                </c:pt>
                <c:pt idx="156">
                  <c:v>82.148966095506594</c:v>
                </c:pt>
                <c:pt idx="157">
                  <c:v>82.147494870480955</c:v>
                </c:pt>
                <c:pt idx="158">
                  <c:v>82.133107497824184</c:v>
                </c:pt>
                <c:pt idx="159">
                  <c:v>82.10363576868528</c:v>
                </c:pt>
                <c:pt idx="160">
                  <c:v>82.057061112967006</c:v>
                </c:pt>
                <c:pt idx="161">
                  <c:v>81.99150297439364</c:v>
                </c:pt>
                <c:pt idx="162">
                  <c:v>81.905203358500742</c:v>
                </c:pt>
                <c:pt idx="163">
                  <c:v>81.796508840374003</c:v>
                </c:pt>
                <c:pt idx="164">
                  <c:v>81.663851119014183</c:v>
                </c:pt>
                <c:pt idx="165">
                  <c:v>81.5057269958929</c:v>
                </c:pt>
                <c:pt idx="166">
                  <c:v>81.320678455154408</c:v>
                </c:pt>
                <c:pt idx="167">
                  <c:v>81.107273343764589</c:v>
                </c:pt>
                <c:pt idx="168">
                  <c:v>80.864086997946998</c:v>
                </c:pt>
                <c:pt idx="169">
                  <c:v>80.589685039533919</c:v>
                </c:pt>
                <c:pt idx="170">
                  <c:v>80.282607471701496</c:v>
                </c:pt>
                <c:pt idx="171">
                  <c:v>79.941354135534809</c:v>
                </c:pt>
                <c:pt idx="172">
                  <c:v>79.56437154375584</c:v>
                </c:pt>
                <c:pt idx="173">
                  <c:v>79.15004108227366</c:v>
                </c:pt>
                <c:pt idx="174">
                  <c:v>78.696668560684628</c:v>
                </c:pt>
                <c:pt idx="175">
                  <c:v>78.202475096529298</c:v>
                </c:pt>
                <c:pt idx="176">
                  <c:v>77.665589332592617</c:v>
                </c:pt>
                <c:pt idx="177">
                  <c:v>77.084041009862744</c:v>
                </c:pt>
                <c:pt idx="178">
                  <c:v>76.455755949493266</c:v>
                </c:pt>
                <c:pt idx="179">
                  <c:v>75.778552534166053</c:v>
                </c:pt>
                <c:pt idx="180">
                  <c:v>75.05013982185784</c:v>
                </c:pt>
                <c:pt idx="181">
                  <c:v>74.268117472569628</c:v>
                </c:pt>
                <c:pt idx="182">
                  <c:v>73.429977720583949</c:v>
                </c:pt>
                <c:pt idx="183">
                  <c:v>72.533109680645737</c:v>
                </c:pt>
                <c:pt idx="184">
                  <c:v>71.574806335312161</c:v>
                </c:pt>
                <c:pt idx="185">
                  <c:v>70.552274611343236</c:v>
                </c:pt>
                <c:pt idx="186">
                  <c:v>69.462649013562142</c:v>
                </c:pt>
                <c:pt idx="187">
                  <c:v>68.30300934243283</c:v>
                </c:pt>
                <c:pt idx="188">
                  <c:v>67.070403072891438</c:v>
                </c:pt>
                <c:pt idx="189">
                  <c:v>65.761873011594147</c:v>
                </c:pt>
                <c:pt idx="190">
                  <c:v>64.374490870909938</c:v>
                </c:pt>
                <c:pt idx="191">
                  <c:v>62.90539739206551</c:v>
                </c:pt>
                <c:pt idx="192">
                  <c:v>61.351849606181602</c:v>
                </c:pt>
                <c:pt idx="193">
                  <c:v>59.71127572791336</c:v>
                </c:pt>
                <c:pt idx="194">
                  <c:v>57.981338017798407</c:v>
                </c:pt>
                <c:pt idx="195">
                  <c:v>56.160003711016756</c:v>
                </c:pt>
                <c:pt idx="196">
                  <c:v>54.245623777302697</c:v>
                </c:pt>
                <c:pt idx="197">
                  <c:v>52.237018836717311</c:v>
                </c:pt>
                <c:pt idx="198">
                  <c:v>50.133571001531351</c:v>
                </c:pt>
                <c:pt idx="199">
                  <c:v>47.935319746812795</c:v>
                </c:pt>
                <c:pt idx="200">
                  <c:v>45.643059145528525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298176"/>
        <c:axId val="41320448"/>
      </c:scatterChart>
      <c:valAx>
        <c:axId val="41298176"/>
        <c:scaling>
          <c:logBase val="10"/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 (Hz)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1320448"/>
        <c:crosses val="autoZero"/>
        <c:crossBetween val="midCat"/>
      </c:valAx>
      <c:valAx>
        <c:axId val="413204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Phase (°)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129817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|Vloop|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5155656795747917E-2"/>
          <c:y val="0.14502612166526546"/>
          <c:w val="0.7104696896192868"/>
          <c:h val="0.75399689885887189"/>
        </c:manualLayout>
      </c:layout>
      <c:scatterChart>
        <c:scatterStyle val="smoothMarker"/>
        <c:varyColors val="0"/>
        <c:ser>
          <c:idx val="0"/>
          <c:order val="0"/>
          <c:tx>
            <c:v>db</c:v>
          </c:tx>
          <c:marker>
            <c:symbol val="none"/>
          </c:marker>
          <c:xVal>
            <c:numRef>
              <c:f>'Design tool'!$Z$2:$Z$202</c:f>
              <c:numCache>
                <c:formatCode>General</c:formatCode>
                <c:ptCount val="201"/>
                <c:pt idx="0">
                  <c:v>1</c:v>
                </c:pt>
                <c:pt idx="1">
                  <c:v>1.0634378492473788</c:v>
                </c:pt>
                <c:pt idx="2">
                  <c:v>1.1309000592118907</c:v>
                </c:pt>
                <c:pt idx="3">
                  <c:v>1.2026419266820265</c:v>
                </c:pt>
                <c:pt idx="4">
                  <c:v>1.278934943925458</c:v>
                </c:pt>
                <c:pt idx="5">
                  <c:v>1.3600678260954062</c:v>
                </c:pt>
                <c:pt idx="6">
                  <c:v>1.4463476038134566</c:v>
                </c:pt>
                <c:pt idx="7">
                  <c:v>1.5381007850634825</c:v>
                </c:pt>
                <c:pt idx="8">
                  <c:v>1.6356745907936145</c:v>
                </c:pt>
                <c:pt idx="9">
                  <c:v>1.7394382689021479</c:v>
                </c:pt>
                <c:pt idx="10">
                  <c:v>1.849784491579884</c:v>
                </c:pt>
                <c:pt idx="11">
                  <c:v>1.967130841296868</c:v>
                </c:pt>
                <c:pt idx="12">
                  <c:v>2.0919213910569279</c:v>
                </c:pt>
                <c:pt idx="13">
                  <c:v>2.2246283849001642</c:v>
                </c:pt>
                <c:pt idx="14">
                  <c:v>2.365754025012901</c:v>
                </c:pt>
                <c:pt idx="15">
                  <c:v>2.5158323722080485</c:v>
                </c:pt>
                <c:pt idx="16">
                  <c:v>2.6754313669678584</c:v>
                </c:pt>
                <c:pt idx="17">
                  <c:v>2.8451549786972743</c:v>
                </c:pt>
                <c:pt idx="18">
                  <c:v>3.0256454913213009</c:v>
                </c:pt>
                <c:pt idx="19">
                  <c:v>3.2175859338757533</c:v>
                </c:pt>
                <c:pt idx="20">
                  <c:v>3.42170266528945</c:v>
                </c:pt>
                <c:pt idx="21">
                  <c:v>3.6387681231394358</c:v>
                </c:pt>
                <c:pt idx="22">
                  <c:v>3.8696037467813236</c:v>
                </c:pt>
                <c:pt idx="23">
                  <c:v>4.1150830859167291</c:v>
                </c:pt>
                <c:pt idx="24">
                  <c:v>4.376135106361553</c:v>
                </c:pt>
                <c:pt idx="25">
                  <c:v>4.6537477055250784</c:v>
                </c:pt>
                <c:pt idx="26">
                  <c:v>4.9489714509035139</c:v>
                </c:pt>
                <c:pt idx="27">
                  <c:v>5.2629235557355134</c:v>
                </c:pt>
                <c:pt idx="28">
                  <c:v>5.5967921068647417</c:v>
                </c:pt>
                <c:pt idx="29">
                  <c:v>5.9518405608089449</c:v>
                </c:pt>
                <c:pt idx="30">
                  <c:v>6.3294125250499764</c:v>
                </c:pt>
                <c:pt idx="31">
                  <c:v>6.7309368426385694</c:v>
                </c:pt>
                <c:pt idx="32">
                  <c:v>7.1579329993555039</c:v>
                </c:pt>
                <c:pt idx="33">
                  <c:v>7.6120168738914558</c:v>
                </c:pt>
                <c:pt idx="34">
                  <c:v>8.0949068528058863</c:v>
                </c:pt>
                <c:pt idx="35">
                  <c:v>8.6084303334057619</c:v>
                </c:pt>
                <c:pt idx="36">
                  <c:v>9.1545306391529166</c:v>
                </c:pt>
                <c:pt idx="37">
                  <c:v>9.7352743737700074</c:v>
                </c:pt>
                <c:pt idx="38">
                  <c:v>10.352859241875105</c:v>
                </c:pt>
                <c:pt idx="39">
                  <c:v>11.009622365740512</c:v>
                </c:pt>
                <c:pt idx="40">
                  <c:v>11.708049129648925</c:v>
                </c:pt>
                <c:pt idx="41">
                  <c:v>12.4507825853165</c:v>
                </c:pt>
                <c:pt idx="42">
                  <c:v>13.240633453975693</c:v>
                </c:pt>
                <c:pt idx="43">
                  <c:v>14.080590762968805</c:v>
                </c:pt>
                <c:pt idx="44">
                  <c:v>14.973833157104059</c:v>
                </c:pt>
                <c:pt idx="45">
                  <c:v>15.923740927579823</c:v>
                </c:pt>
                <c:pt idx="46">
                  <c:v>16.933908803997952</c:v>
                </c:pt>
                <c:pt idx="47">
                  <c:v>18.008159557874837</c:v>
                </c:pt>
                <c:pt idx="48">
                  <c:v>19.150558469130036</c:v>
                </c:pt>
                <c:pt idx="49">
                  <c:v>20.365428710297824</c:v>
                </c:pt>
                <c:pt idx="50">
                  <c:v>21.657367706679931</c:v>
                </c:pt>
                <c:pt idx="51">
                  <c:v>23.031264534351347</c:v>
                </c:pt>
                <c:pt idx="52">
                  <c:v>24.492318421858034</c:v>
                </c:pt>
                <c:pt idx="53">
                  <c:v>26.046058425622668</c:v>
                </c:pt>
                <c:pt idx="54">
                  <c:v>27.698364353515743</c:v>
                </c:pt>
                <c:pt idx="55">
                  <c:v>29.45548901577305</c:v>
                </c:pt>
                <c:pt idx="56">
                  <c:v>31.324081887463471</c:v>
                </c:pt>
                <c:pt idx="57">
                  <c:v>33.311214272052936</c:v>
                </c:pt>
                <c:pt idx="58">
                  <c:v>35.424406061290533</c:v>
                </c:pt>
                <c:pt idx="59">
                  <c:v>37.67165419268462</c:v>
                </c:pt>
                <c:pt idx="60">
                  <c:v>40.061462912259522</c:v>
                </c:pt>
                <c:pt idx="61">
                  <c:v>42.602875957116908</c:v>
                </c:pt>
                <c:pt idx="62">
                  <c:v>45.305510779589277</c:v>
                </c:pt>
                <c:pt idx="63">
                  <c:v>48.179594942500358</c:v>
                </c:pt>
                <c:pt idx="64">
                  <c:v>51.236004823262483</c:v>
                </c:pt>
                <c:pt idx="65">
                  <c:v>54.486306773278585</c:v>
                </c:pt>
                <c:pt idx="66">
                  <c:v>57.94280088840825</c:v>
                </c:pt>
                <c:pt idx="67">
                  <c:v>61.61856755613799</c:v>
                </c:pt>
                <c:pt idx="68">
                  <c:v>65.527516955603716</c:v>
                </c:pt>
                <c:pt idx="69">
                  <c:v>69.684441697788372</c:v>
                </c:pt>
                <c:pt idx="70">
                  <c:v>74.105072805100434</c:v>
                </c:pt>
                <c:pt idx="71">
                  <c:v>78.806139242176371</c:v>
                </c:pt>
                <c:pt idx="72">
                  <c:v>83.805431223189501</c:v>
                </c:pt>
                <c:pt idx="73">
                  <c:v>89.121867535237712</c:v>
                </c:pt>
                <c:pt idx="74">
                  <c:v>94.775567132582992</c:v>
                </c:pt>
                <c:pt idx="75">
                  <c:v>100.78792527267464</c:v>
                </c:pt>
                <c:pt idx="76">
                  <c:v>107.18169448207877</c:v>
                </c:pt>
                <c:pt idx="77">
                  <c:v>113.98107065871142</c:v>
                </c:pt>
                <c:pt idx="78">
                  <c:v>121.21178463621371</c:v>
                </c:pt>
                <c:pt idx="79">
                  <c:v>128.90119955697148</c:v>
                </c:pt>
                <c:pt idx="80">
                  <c:v>137.07841442227294</c:v>
                </c:pt>
                <c:pt idx="81">
                  <c:v>145.77437421146283</c:v>
                </c:pt>
                <c:pt idx="82">
                  <c:v>155.02198698682062</c:v>
                </c:pt>
                <c:pt idx="83">
                  <c:v>164.85624842731968</c:v>
                </c:pt>
                <c:pt idx="84">
                  <c:v>175.3143742625403</c:v>
                </c:pt>
                <c:pt idx="85">
                  <c:v>186.43594110790573</c:v>
                </c:pt>
                <c:pt idx="86">
                  <c:v>198.26303623420247</c:v>
                </c:pt>
                <c:pt idx="87">
                  <c:v>210.84041683815525</c:v>
                </c:pt>
                <c:pt idx="88">
                  <c:v>224.21567941678887</c:v>
                </c:pt>
                <c:pt idx="89">
                  <c:v>238.43943988652958</c:v>
                </c:pt>
                <c:pt idx="90">
                  <c:v>253.56552512868072</c:v>
                </c:pt>
                <c:pt idx="91">
                  <c:v>269.65117668612646</c:v>
                </c:pt>
                <c:pt idx="92">
                  <c:v>286.75726738211927</c:v>
                </c:pt>
                <c:pt idx="93">
                  <c:v>304.94853168089651</c:v>
                </c:pt>
                <c:pt idx="94">
                  <c:v>324.29381066187881</c:v>
                </c:pt>
                <c:pt idx="95">
                  <c:v>344.8663125345048</c:v>
                </c:pt>
                <c:pt idx="96">
                  <c:v>366.74388967956821</c:v>
                </c:pt>
                <c:pt idx="97">
                  <c:v>390.00933326545766</c:v>
                </c:pt>
                <c:pt idx="98">
                  <c:v>414.75068655422291</c:v>
                </c:pt>
                <c:pt idx="99">
                  <c:v>441.06157808309626</c:v>
                </c:pt>
                <c:pt idx="100">
                  <c:v>469.04157598234281</c:v>
                </c:pt>
                <c:pt idx="101">
                  <c:v>498.79656477026373</c:v>
                </c:pt>
                <c:pt idx="102">
                  <c:v>530.4391460512702</c:v>
                </c:pt>
                <c:pt idx="103">
                  <c:v>564.08906463337905</c:v>
                </c:pt>
                <c:pt idx="104">
                  <c:v>599.87366167768641</c:v>
                </c:pt>
                <c:pt idx="105">
                  <c:v>637.92835659466812</c:v>
                </c:pt>
                <c:pt idx="106">
                  <c:v>678.39715951094945</c:v>
                </c:pt>
                <c:pt idx="107">
                  <c:v>721.43321624585462</c:v>
                </c:pt>
                <c:pt idx="108">
                  <c:v>767.19938786011153</c:v>
                </c:pt>
                <c:pt idx="109">
                  <c:v>815.86886696986198</c:v>
                </c:pt>
                <c:pt idx="110">
                  <c:v>867.62583315832671</c:v>
                </c:pt>
                <c:pt idx="111">
                  <c:v>922.66614996535543</c:v>
                </c:pt>
                <c:pt idx="112">
                  <c:v>981.19810609251715</c:v>
                </c:pt>
                <c:pt idx="113">
                  <c:v>1043.443203628628</c:v>
                </c:pt>
                <c:pt idx="114">
                  <c:v>1109.6369962786232</c:v>
                </c:pt>
                <c:pt idx="115">
                  <c:v>1180.0299807678607</c:v>
                </c:pt>
                <c:pt idx="116">
                  <c:v>1254.8885447951977</c:v>
                </c:pt>
                <c:pt idx="117">
                  <c:v>1334.4959751221782</c:v>
                </c:pt>
                <c:pt idx="118">
                  <c:v>1419.1535296132129</c:v>
                </c:pt>
                <c:pt idx="119">
                  <c:v>1509.1815772837017</c:v>
                </c:pt>
                <c:pt idx="120">
                  <c:v>1604.9208106703452</c:v>
                </c:pt>
                <c:pt idx="121">
                  <c:v>1706.7335351116335</c:v>
                </c:pt>
                <c:pt idx="122">
                  <c:v>1815.0050398174897</c:v>
                </c:pt>
                <c:pt idx="123">
                  <c:v>1930.1450559166665</c:v>
                </c:pt>
                <c:pt idx="124">
                  <c:v>2052.58930699948</c:v>
                </c:pt>
                <c:pt idx="125">
                  <c:v>2182.8011580236971</c:v>
                </c:pt>
                <c:pt idx="126">
                  <c:v>2321.2733688234066</c:v>
                </c:pt>
                <c:pt idx="127">
                  <c:v>2468.5299588567814</c:v>
                </c:pt>
                <c:pt idx="128">
                  <c:v>2625.1281902493761</c:v>
                </c:pt>
                <c:pt idx="129">
                  <c:v>2791.6606766374607</c:v>
                </c:pt>
                <c:pt idx="130">
                  <c:v>2968.757625791824</c:v>
                </c:pt>
                <c:pt idx="131">
                  <c:v>3157.0892245088098</c:v>
                </c:pt>
                <c:pt idx="132">
                  <c:v>3357.3681747937244</c:v>
                </c:pt>
                <c:pt idx="133">
                  <c:v>3570.3523909342362</c:v>
                </c:pt>
                <c:pt idx="134">
                  <c:v>3796.8478676703417</c:v>
                </c:pt>
                <c:pt idx="135">
                  <c:v>4037.7117303148448</c:v>
                </c:pt>
                <c:pt idx="136">
                  <c:v>4293.8554783669315</c:v>
                </c:pt>
                <c:pt idx="137">
                  <c:v>4566.248434893605</c:v>
                </c:pt>
                <c:pt idx="138">
                  <c:v>4855.9214147324665</c:v>
                </c:pt>
                <c:pt idx="139">
                  <c:v>5163.9706253973836</c:v>
                </c:pt>
                <c:pt idx="140">
                  <c:v>5491.5618154492358</c:v>
                </c:pt>
                <c:pt idx="141">
                  <c:v>5839.9346860303567</c:v>
                </c:pt>
                <c:pt idx="142">
                  <c:v>6210.4075822572904</c:v>
                </c:pt>
                <c:pt idx="143">
                  <c:v>6604.3824822253073</c:v>
                </c:pt>
                <c:pt idx="144">
                  <c:v>7023.3503025047467</c:v>
                </c:pt>
                <c:pt idx="145">
                  <c:v>7468.8965402065769</c:v>
                </c:pt>
                <c:pt idx="146">
                  <c:v>7942.7072729684578</c:v>
                </c:pt>
                <c:pt idx="147">
                  <c:v>8446.5755395671058</c:v>
                </c:pt>
                <c:pt idx="148">
                  <c:v>8982.4081253027471</c:v>
                </c:pt>
                <c:pt idx="149">
                  <c:v>9552.2327778341514</c:v>
                </c:pt>
                <c:pt idx="150">
                  <c:v>10158.205880770249</c:v>
                </c:pt>
                <c:pt idx="151">
                  <c:v>10802.620614058389</c:v>
                </c:pt>
                <c:pt idx="152">
                  <c:v>11487.915632049675</c:v>
                </c:pt>
                <c:pt idx="153">
                  <c:v>12216.684292082227</c:v>
                </c:pt>
                <c:pt idx="154">
                  <c:v>12991.684468506162</c:v>
                </c:pt>
                <c:pt idx="155">
                  <c:v>13815.848989288772</c:v>
                </c:pt>
                <c:pt idx="156">
                  <c:v>14692.296734695852</c:v>
                </c:pt>
                <c:pt idx="157">
                  <c:v>15624.344440049217</c:v>
                </c:pt>
                <c:pt idx="158">
                  <c:v>16615.519247226184</c:v>
                </c:pt>
                <c:pt idx="159">
                  <c:v>17669.572052398642</c:v>
                </c:pt>
                <c:pt idx="160">
                  <c:v>18790.49170052441</c:v>
                </c:pt>
                <c:pt idx="161">
                  <c:v>19982.5200803064</c:v>
                </c:pt>
                <c:pt idx="162">
                  <c:v>21250.168176743602</c:v>
                </c:pt>
                <c:pt idx="163">
                  <c:v>22598.233142021272</c:v>
                </c:pt>
                <c:pt idx="164">
                  <c:v>24031.816449341983</c:v>
                </c:pt>
                <c:pt idx="165">
                  <c:v>25556.343198396022</c:v>
                </c:pt>
                <c:pt idx="166">
                  <c:v>27177.582645530147</c:v>
                </c:pt>
                <c:pt idx="167">
                  <c:v>28901.670036305419</c:v>
                </c:pt>
                <c:pt idx="168">
                  <c:v>30735.129823066054</c:v>
                </c:pt>
                <c:pt idx="169">
                  <c:v>32684.900355380338</c:v>
                </c:pt>
                <c:pt idx="170">
                  <c:v>34758.360136790499</c:v>
                </c:pt>
                <c:pt idx="171">
                  <c:v>36963.355747234389</c:v>
                </c:pt>
                <c:pt idx="172">
                  <c:v>39308.231536804677</c:v>
                </c:pt>
                <c:pt idx="173">
                  <c:v>41801.861203217486</c:v>
                </c:pt>
                <c:pt idx="174">
                  <c:v>44453.681372487059</c:v>
                </c:pt>
                <c:pt idx="175">
                  <c:v>47273.727309885995</c:v>
                </c:pt>
                <c:pt idx="176">
                  <c:v>50272.670896332245</c:v>
                </c:pt>
                <c:pt idx="177">
                  <c:v>53461.861013916772</c:v>
                </c:pt>
                <c:pt idx="178">
                  <c:v>56853.366493401947</c:v>
                </c:pt>
                <c:pt idx="179">
                  <c:v>60460.02178621637</c:v>
                </c:pt>
                <c:pt idx="180">
                  <c:v>64295.47553378361</c:v>
                </c:pt>
                <c:pt idx="181">
                  <c:v>68374.242217984312</c:v>
                </c:pt>
                <c:pt idx="182">
                  <c:v>72711.757088212587</c:v>
                </c:pt>
                <c:pt idx="183">
                  <c:v>77324.434572886516</c:v>
                </c:pt>
                <c:pt idx="184">
                  <c:v>82229.730396460247</c:v>
                </c:pt>
                <c:pt idx="185">
                  <c:v>87446.207637003507</c:v>
                </c:pt>
                <c:pt idx="186">
                  <c:v>92993.606974334747</c:v>
                </c:pt>
                <c:pt idx="187">
                  <c:v>98892.921394542427</c:v>
                </c:pt>
                <c:pt idx="188">
                  <c:v>105166.47563360249</c:v>
                </c:pt>
                <c:pt idx="189">
                  <c:v>111838.01066072512</c:v>
                </c:pt>
                <c:pt idx="190">
                  <c:v>118932.77352114675</c:v>
                </c:pt>
                <c:pt idx="191">
                  <c:v>126477.61287835392</c:v>
                </c:pt>
                <c:pt idx="192">
                  <c:v>134501.0806172993</c:v>
                </c:pt>
                <c:pt idx="193">
                  <c:v>143033.53989310883</c:v>
                </c:pt>
                <c:pt idx="194">
                  <c:v>152107.28003416685</c:v>
                </c:pt>
                <c:pt idx="195">
                  <c:v>161756.63873440344</c:v>
                </c:pt>
                <c:pt idx="196">
                  <c:v>172018.13199719929</c:v>
                </c:pt>
                <c:pt idx="197">
                  <c:v>182930.59232265301</c:v>
                </c:pt>
                <c:pt idx="198">
                  <c:v>194535.31566115122</c:v>
                </c:pt>
                <c:pt idx="199">
                  <c:v>206876.21768935499</c:v>
                </c:pt>
                <c:pt idx="200">
                  <c:v>219999.99999999985</c:v>
                </c:pt>
              </c:numCache>
            </c:numRef>
          </c:xVal>
          <c:yVal>
            <c:numRef>
              <c:f>'Design tool'!$AS$2:$AS$202</c:f>
              <c:numCache>
                <c:formatCode>General</c:formatCode>
                <c:ptCount val="201"/>
                <c:pt idx="0">
                  <c:v>67.247633185812646</c:v>
                </c:pt>
                <c:pt idx="1">
                  <c:v>67.247248050089297</c:v>
                </c:pt>
                <c:pt idx="2">
                  <c:v>67.246812541224358</c:v>
                </c:pt>
                <c:pt idx="3">
                  <c:v>67.246320076837662</c:v>
                </c:pt>
                <c:pt idx="4">
                  <c:v>67.245763216108358</c:v>
                </c:pt>
                <c:pt idx="5">
                  <c:v>67.245133548294788</c:v>
                </c:pt>
                <c:pt idx="6">
                  <c:v>67.24442156690661</c:v>
                </c:pt>
                <c:pt idx="7">
                  <c:v>67.243616527722935</c:v>
                </c:pt>
                <c:pt idx="8">
                  <c:v>67.242706288626778</c:v>
                </c:pt>
                <c:pt idx="9">
                  <c:v>67.24167712898921</c:v>
                </c:pt>
                <c:pt idx="10">
                  <c:v>67.240513546066353</c:v>
                </c:pt>
                <c:pt idx="11">
                  <c:v>67.239198025583406</c:v>
                </c:pt>
                <c:pt idx="12">
                  <c:v>67.23771078335615</c:v>
                </c:pt>
                <c:pt idx="13">
                  <c:v>67.236029474454739</c:v>
                </c:pt>
                <c:pt idx="14">
                  <c:v>67.234128866034382</c:v>
                </c:pt>
                <c:pt idx="15">
                  <c:v>67.231980469555083</c:v>
                </c:pt>
                <c:pt idx="16">
                  <c:v>67.22955212768008</c:v>
                </c:pt>
                <c:pt idx="17">
                  <c:v>67.226807550691532</c:v>
                </c:pt>
                <c:pt idx="18">
                  <c:v>67.223705796793453</c:v>
                </c:pt>
                <c:pt idx="19">
                  <c:v>67.22020069019834</c:v>
                </c:pt>
                <c:pt idx="20">
                  <c:v>67.216240170425067</c:v>
                </c:pt>
                <c:pt idx="21">
                  <c:v>67.211765565794252</c:v>
                </c:pt>
                <c:pt idx="22">
                  <c:v>67.206710783711571</c:v>
                </c:pt>
                <c:pt idx="23">
                  <c:v>67.201001410021107</c:v>
                </c:pt>
                <c:pt idx="24">
                  <c:v>67.194553709517436</c:v>
                </c:pt>
                <c:pt idx="25">
                  <c:v>67.187273519700554</c:v>
                </c:pt>
                <c:pt idx="26">
                  <c:v>67.17905503009321</c:v>
                </c:pt>
                <c:pt idx="27">
                  <c:v>67.169779440007375</c:v>
                </c:pt>
                <c:pt idx="28">
                  <c:v>67.159313488661766</c:v>
                </c:pt>
                <c:pt idx="29">
                  <c:v>67.147507853123614</c:v>
                </c:pt>
                <c:pt idx="30">
                  <c:v>67.134195411847926</c:v>
                </c:pt>
                <c:pt idx="31">
                  <c:v>67.119189374785407</c:v>
                </c:pt>
                <c:pt idx="32">
                  <c:v>67.102281285333959</c:v>
                </c:pt>
                <c:pt idx="33">
                  <c:v>67.083238905043544</c:v>
                </c:pt>
                <c:pt idx="34">
                  <c:v>67.061803999200322</c:v>
                </c:pt>
                <c:pt idx="35">
                  <c:v>67.037690050448077</c:v>
                </c:pt>
                <c:pt idx="36">
                  <c:v>67.010579938689474</c:v>
                </c:pt>
                <c:pt idx="37">
                  <c:v>66.980123638815016</c:v>
                </c:pt>
                <c:pt idx="38">
                  <c:v>66.945936003423242</c:v>
                </c:pt>
                <c:pt idx="39">
                  <c:v>66.907594715548569</c:v>
                </c:pt>
                <c:pt idx="40">
                  <c:v>66.864638516209013</c:v>
                </c:pt>
                <c:pt idx="41">
                  <c:v>66.816565832720869</c:v>
                </c:pt>
                <c:pt idx="42">
                  <c:v>66.76283395517558</c:v>
                </c:pt>
                <c:pt idx="43">
                  <c:v>66.702858928724154</c:v>
                </c:pt>
                <c:pt idx="44">
                  <c:v>66.636016346251722</c:v>
                </c:pt>
                <c:pt idx="45">
                  <c:v>66.561643236941705</c:v>
                </c:pt>
                <c:pt idx="46">
                  <c:v>66.479041247831177</c:v>
                </c:pt>
                <c:pt idx="47">
                  <c:v>66.387481304063868</c:v>
                </c:pt>
                <c:pt idx="48">
                  <c:v>66.286209905371066</c:v>
                </c:pt>
                <c:pt idx="49">
                  <c:v>66.174457167986489</c:v>
                </c:pt>
                <c:pt idx="50">
                  <c:v>66.051446650452917</c:v>
                </c:pt>
                <c:pt idx="51">
                  <c:v>65.916406908227003</c:v>
                </c:pt>
                <c:pt idx="52">
                  <c:v>65.76858460799734</c:v>
                </c:pt>
                <c:pt idx="53">
                  <c:v>65.607258903981943</c:v>
                </c:pt>
                <c:pt idx="54">
                  <c:v>65.431756644696094</c:v>
                </c:pt>
                <c:pt idx="55">
                  <c:v>65.241467852734473</c:v>
                </c:pt>
                <c:pt idx="56">
                  <c:v>65.035860817333258</c:v>
                </c:pt>
                <c:pt idx="57">
                  <c:v>64.814496075647412</c:v>
                </c:pt>
                <c:pt idx="58">
                  <c:v>64.577038547535338</c:v>
                </c:pt>
                <c:pt idx="59">
                  <c:v>64.323267139099769</c:v>
                </c:pt>
                <c:pt idx="60">
                  <c:v>64.05308124405127</c:v>
                </c:pt>
                <c:pt idx="61">
                  <c:v>63.766503742386611</c:v>
                </c:pt>
                <c:pt idx="62">
                  <c:v>63.463680307868401</c:v>
                </c:pt>
                <c:pt idx="63">
                  <c:v>63.144875067829737</c:v>
                </c:pt>
                <c:pt idx="64">
                  <c:v>62.810462886214921</c:v>
                </c:pt>
                <c:pt idx="65">
                  <c:v>62.460918739512437</c:v>
                </c:pt>
                <c:pt idx="66">
                  <c:v>62.096804805950114</c:v>
                </c:pt>
                <c:pt idx="67">
                  <c:v>61.718755978876587</c:v>
                </c:pt>
                <c:pt idx="68">
                  <c:v>61.32746454216705</c:v>
                </c:pt>
                <c:pt idx="69">
                  <c:v>60.923664713382792</c:v>
                </c:pt>
                <c:pt idx="70">
                  <c:v>60.508117680313134</c:v>
                </c:pt>
                <c:pt idx="71">
                  <c:v>60.081597643254241</c:v>
                </c:pt>
                <c:pt idx="72">
                  <c:v>59.644879244813211</c:v>
                </c:pt>
                <c:pt idx="73">
                  <c:v>59.198726635796987</c:v>
                </c:pt>
                <c:pt idx="74">
                  <c:v>58.743884301628711</c:v>
                </c:pt>
                <c:pt idx="75">
                  <c:v>58.281069666843372</c:v>
                </c:pt>
                <c:pt idx="76">
                  <c:v>57.81096741002186</c:v>
                </c:pt>
                <c:pt idx="77">
                  <c:v>57.334225359254276</c:v>
                </c:pt>
                <c:pt idx="78">
                  <c:v>56.851451797716337</c:v>
                </c:pt>
                <c:pt idx="79">
                  <c:v>56.363213987408741</c:v>
                </c:pt>
                <c:pt idx="80">
                  <c:v>55.870037712966052</c:v>
                </c:pt>
                <c:pt idx="81">
                  <c:v>55.372407652891546</c:v>
                </c:pt>
                <c:pt idx="82">
                  <c:v>54.870768399047257</c:v>
                </c:pt>
                <c:pt idx="83">
                  <c:v>54.365525963644956</c:v>
                </c:pt>
                <c:pt idx="84">
                  <c:v>53.857049633842763</c:v>
                </c:pt>
                <c:pt idx="85">
                  <c:v>53.34567405548691</c:v>
                </c:pt>
                <c:pt idx="86">
                  <c:v>52.831701448207141</c:v>
                </c:pt>
                <c:pt idx="87">
                  <c:v>52.315403873143453</c:v>
                </c:pt>
                <c:pt idx="88">
                  <c:v>51.797025491549874</c:v>
                </c:pt>
                <c:pt idx="89">
                  <c:v>51.276784767202798</c:v>
                </c:pt>
                <c:pt idx="90">
                  <c:v>50.7548765779229</c:v>
                </c:pt>
                <c:pt idx="91">
                  <c:v>50.231474211730031</c:v>
                </c:pt>
                <c:pt idx="92">
                  <c:v>49.706731231382896</c:v>
                </c:pt>
                <c:pt idx="93">
                  <c:v>49.180783197554021</c:v>
                </c:pt>
                <c:pt idx="94">
                  <c:v>48.653749245901324</c:v>
                </c:pt>
                <c:pt idx="95">
                  <c:v>48.125733517054698</c:v>
                </c:pt>
                <c:pt idx="96">
                  <c:v>47.596826441268576</c:v>
                </c:pt>
                <c:pt idx="97">
                  <c:v>47.067105881399826</c:v>
                </c:pt>
                <c:pt idx="98">
                  <c:v>46.536638139117017</c:v>
                </c:pt>
                <c:pt idx="99">
                  <c:v>46.005478830002886</c:v>
                </c:pt>
                <c:pt idx="100">
                  <c:v>45.473673633580873</c:v>
                </c:pt>
                <c:pt idx="101">
                  <c:v>44.941258924413447</c:v>
                </c:pt>
                <c:pt idx="102">
                  <c:v>44.408262290356703</c:v>
                </c:pt>
                <c:pt idx="103">
                  <c:v>43.874702943906556</c:v>
                </c:pt>
                <c:pt idx="104">
                  <c:v>43.340592032412829</c:v>
                </c:pt>
                <c:pt idx="105">
                  <c:v>42.805932852820177</c:v>
                </c:pt>
                <c:pt idx="106">
                  <c:v>42.270720976607464</c:v>
                </c:pt>
                <c:pt idx="107">
                  <c:v>41.73494429078805</c:v>
                </c:pt>
                <c:pt idx="108">
                  <c:v>41.198582961283222</c:v>
                </c:pt>
                <c:pt idx="109">
                  <c:v>40.661609325760516</c:v>
                </c:pt>
                <c:pt idx="110">
                  <c:v>40.123987724221891</c:v>
                </c:pt>
                <c:pt idx="111">
                  <c:v>39.585674277325168</c:v>
                </c:pt>
                <c:pt idx="112">
                  <c:v>39.046616624710246</c:v>
                </c:pt>
                <c:pt idx="113">
                  <c:v>38.506753638594709</c:v>
                </c:pt>
                <c:pt idx="114">
                  <c:v>37.966015131677352</c:v>
                </c:pt>
                <c:pt idx="115">
                  <c:v>37.424321583041177</c:v>
                </c:pt>
                <c:pt idx="116">
                  <c:v>36.881583911317051</c:v>
                </c:pt>
                <c:pt idx="117">
                  <c:v>36.337703330871861</c:v>
                </c:pt>
                <c:pt idx="118">
                  <c:v>35.792571334140845</c:v>
                </c:pt>
                <c:pt idx="119">
                  <c:v>35.246069851241288</c:v>
                </c:pt>
                <c:pt idx="120">
                  <c:v>34.69807164633265</c:v>
                </c:pt>
                <c:pt idx="121">
                  <c:v>34.148441018264947</c:v>
                </c:pt>
                <c:pt idx="122">
                  <c:v>33.597034880043154</c:v>
                </c:pt>
                <c:pt idx="123">
                  <c:v>33.043704296386515</c:v>
                </c:pt>
                <c:pt idx="124">
                  <c:v>32.488296559675149</c:v>
                </c:pt>
                <c:pt idx="125">
                  <c:v>31.930657880033234</c:v>
                </c:pt>
                <c:pt idx="126">
                  <c:v>31.370636753084604</c:v>
                </c:pt>
                <c:pt idx="127">
                  <c:v>30.808088046861251</c:v>
                </c:pt>
                <c:pt idx="128">
                  <c:v>30.242877815413696</c:v>
                </c:pt>
                <c:pt idx="129">
                  <c:v>29.67488879946541</c:v>
                </c:pt>
                <c:pt idx="130">
                  <c:v>29.104026513698948</c:v>
                </c:pt>
                <c:pt idx="131">
                  <c:v>28.530225747459706</c:v>
                </c:pt>
                <c:pt idx="132">
                  <c:v>27.953457224703861</c:v>
                </c:pt>
                <c:pt idx="133">
                  <c:v>27.373734086611385</c:v>
                </c:pt>
                <c:pt idx="134">
                  <c:v>26.791117786028977</c:v>
                </c:pt>
                <c:pt idx="135">
                  <c:v>26.205722928759368</c:v>
                </c:pt>
                <c:pt idx="136">
                  <c:v>25.617720575694484</c:v>
                </c:pt>
                <c:pt idx="137">
                  <c:v>25.027339543951257</c:v>
                </c:pt>
                <c:pt idx="138">
                  <c:v>24.434865322943615</c:v>
                </c:pt>
                <c:pt idx="139">
                  <c:v>23.840636354808609</c:v>
                </c:pt>
                <c:pt idx="140">
                  <c:v>23.245037611412496</c:v>
                </c:pt>
                <c:pt idx="141">
                  <c:v>22.648491616608357</c:v>
                </c:pt>
                <c:pt idx="142">
                  <c:v>22.051447288627525</c:v>
                </c:pt>
                <c:pt idx="143">
                  <c:v>21.454367184617166</c:v>
                </c:pt>
                <c:pt idx="144">
                  <c:v>20.857713888388837</c:v>
                </c:pt>
                <c:pt idx="145">
                  <c:v>20.261936369836853</c:v>
                </c:pt>
                <c:pt idx="146">
                  <c:v>19.667457146793925</c:v>
                </c:pt>
                <c:pt idx="147">
                  <c:v>19.074660996956631</c:v>
                </c:pt>
                <c:pt idx="148">
                  <c:v>18.483885811674675</c:v>
                </c:pt>
                <c:pt idx="149">
                  <c:v>17.89541597800385</c:v>
                </c:pt>
                <c:pt idx="150">
                  <c:v>17.309478449310586</c:v>
                </c:pt>
                <c:pt idx="151">
                  <c:v>16.726241446868904</c:v>
                </c:pt>
                <c:pt idx="152">
                  <c:v>16.145815549562787</c:v>
                </c:pt>
                <c:pt idx="153">
                  <c:v>15.568256792163304</c:v>
                </c:pt>
                <c:pt idx="154">
                  <c:v>14.993571311584683</c:v>
                </c:pt>
                <c:pt idx="155">
                  <c:v>14.421721053355425</c:v>
                </c:pt>
                <c:pt idx="156">
                  <c:v>13.852630069100156</c:v>
                </c:pt>
                <c:pt idx="157">
                  <c:v>13.286190988201772</c:v>
                </c:pt>
                <c:pt idx="158">
                  <c:v>12.722271319958875</c:v>
                </c:pt>
                <c:pt idx="159">
                  <c:v>12.16071932441573</c:v>
                </c:pt>
                <c:pt idx="160">
                  <c:v>11.601369270868892</c:v>
                </c:pt>
                <c:pt idx="161">
                  <c:v>11.044045975973933</c:v>
                </c:pt>
                <c:pt idx="162">
                  <c:v>10.488568574345219</c:v>
                </c:pt>
                <c:pt idx="163">
                  <c:v>9.9347535219482488</c:v>
                </c:pt>
                <c:pt idx="164">
                  <c:v>9.3824168665996073</c:v>
                </c:pt>
                <c:pt idx="165">
                  <c:v>8.8313758418933865</c:v>
                </c:pt>
                <c:pt idx="166">
                  <c:v>8.2814498528372695</c:v>
                </c:pt>
                <c:pt idx="167">
                  <c:v>7.7324609256090744</c:v>
                </c:pt>
                <c:pt idx="168">
                  <c:v>7.18423369224125</c:v>
                </c:pt>
                <c:pt idx="169">
                  <c:v>6.6365949755482223</c:v>
                </c:pt>
                <c:pt idx="170">
                  <c:v>6.0893730317601076</c:v>
                </c:pt>
                <c:pt idx="171">
                  <c:v>5.542396499288456</c:v>
                </c:pt>
                <c:pt idx="172">
                  <c:v>4.9954930926921879</c:v>
                </c:pt>
                <c:pt idx="173">
                  <c:v>4.4484880718304805</c:v>
                </c:pt>
                <c:pt idx="174">
                  <c:v>3.9012025077891255</c:v>
                </c:pt>
                <c:pt idx="175">
                  <c:v>3.3534513596735493</c:v>
                </c:pt>
                <c:pt idx="176">
                  <c:v>2.8050413699236465</c:v>
                </c:pt>
                <c:pt idx="177">
                  <c:v>2.2557687804970334</c:v>
                </c:pt>
                <c:pt idx="178">
                  <c:v>1.7054168681261492</c:v>
                </c:pt>
                <c:pt idx="179">
                  <c:v>1.1537532939406505</c:v>
                </c:pt>
                <c:pt idx="180">
                  <c:v>0.60052726110678112</c:v>
                </c:pt>
                <c:pt idx="181">
                  <c:v>4.5466473883243097E-2</c:v>
                </c:pt>
                <c:pt idx="182">
                  <c:v>-0.51172610724269774</c:v>
                </c:pt>
                <c:pt idx="183">
                  <c:v>-1.0713757166812607</c:v>
                </c:pt>
                <c:pt idx="184">
                  <c:v>-1.6338394385073487</c:v>
                </c:pt>
                <c:pt idx="185">
                  <c:v>-2.1995100549765469</c:v>
                </c:pt>
                <c:pt idx="186">
                  <c:v>-2.7688200689726674</c:v>
                </c:pt>
                <c:pt idx="187">
                  <c:v>-3.3422458675552571</c:v>
                </c:pt>
                <c:pt idx="188">
                  <c:v>-3.9203119772539079</c:v>
                </c:pt>
                <c:pt idx="189">
                  <c:v>-4.5035953413096683</c:v>
                </c:pt>
                <c:pt idx="190">
                  <c:v>-5.092729524358484</c:v>
                </c:pt>
                <c:pt idx="191">
                  <c:v>-5.6884087208996901</c:v>
                </c:pt>
                <c:pt idx="192">
                  <c:v>-6.2913914103779476</c:v>
                </c:pt>
                <c:pt idx="193">
                  <c:v>-6.9025034643098717</c:v>
                </c:pt>
                <c:pt idx="194">
                  <c:v>-7.5226404706394856</c:v>
                </c:pt>
                <c:pt idx="195">
                  <c:v>-8.152768999216466</c:v>
                </c:pt>
                <c:pt idx="196">
                  <c:v>-8.7939264926860261</c:v>
                </c:pt>
                <c:pt idx="197">
                  <c:v>-9.4472194330109307</c:v>
                </c:pt>
                <c:pt idx="198">
                  <c:v>-10.113819410380941</c:v>
                </c:pt>
                <c:pt idx="199">
                  <c:v>-10.794956714643568</c:v>
                </c:pt>
                <c:pt idx="200">
                  <c:v>-11.491911086807921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333120"/>
        <c:axId val="41334656"/>
      </c:scatterChart>
      <c:valAx>
        <c:axId val="41333120"/>
        <c:scaling>
          <c:logBase val="10"/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 (Hz)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1334656"/>
        <c:crosses val="autoZero"/>
        <c:crossBetween val="midCat"/>
      </c:valAx>
      <c:valAx>
        <c:axId val="413346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Gain (dB)
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133312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264747209629098E-2"/>
          <c:y val="3.9475614495016076E-2"/>
          <c:w val="0.86969495479731695"/>
          <c:h val="0.87145186451041434"/>
        </c:manualLayout>
      </c:layout>
      <c:scatterChart>
        <c:scatterStyle val="lineMarker"/>
        <c:varyColors val="0"/>
        <c:ser>
          <c:idx val="2"/>
          <c:order val="0"/>
          <c:tx>
            <c:strRef>
              <c:f>'Minimum Vin'!$D$7</c:f>
              <c:strCache>
                <c:ptCount val="1"/>
                <c:pt idx="0">
                  <c:v>Vin min @ 2MHz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'Minimum Vin'!$C$8:$C$16</c:f>
              <c:numCache>
                <c:formatCode>General</c:formatCode>
                <c:ptCount val="9"/>
                <c:pt idx="0">
                  <c:v>0.1</c:v>
                </c:pt>
                <c:pt idx="1">
                  <c:v>0.2</c:v>
                </c:pt>
                <c:pt idx="2">
                  <c:v>0.5</c:v>
                </c:pt>
                <c:pt idx="3">
                  <c:v>0.8</c:v>
                </c:pt>
                <c:pt idx="4">
                  <c:v>1</c:v>
                </c:pt>
                <c:pt idx="5">
                  <c:v>1.2</c:v>
                </c:pt>
                <c:pt idx="6">
                  <c:v>1.5</c:v>
                </c:pt>
                <c:pt idx="7">
                  <c:v>1.8</c:v>
                </c:pt>
                <c:pt idx="8">
                  <c:v>2</c:v>
                </c:pt>
              </c:numCache>
            </c:numRef>
          </c:xVal>
          <c:yVal>
            <c:numRef>
              <c:f>'Minimum Vin'!$D$8:$D$16</c:f>
              <c:numCache>
                <c:formatCode>0.00</c:formatCode>
                <c:ptCount val="9"/>
                <c:pt idx="0">
                  <c:v>3.7216666666666667</c:v>
                </c:pt>
                <c:pt idx="1">
                  <c:v>3.7766666666666664</c:v>
                </c:pt>
                <c:pt idx="2">
                  <c:v>3.9416666666666664</c:v>
                </c:pt>
                <c:pt idx="3">
                  <c:v>4.1066666666666665</c:v>
                </c:pt>
                <c:pt idx="4">
                  <c:v>4.2166666666666668</c:v>
                </c:pt>
                <c:pt idx="5">
                  <c:v>4.3266666666666662</c:v>
                </c:pt>
                <c:pt idx="6">
                  <c:v>4.4916666666666663</c:v>
                </c:pt>
                <c:pt idx="7">
                  <c:v>4.6566666666666663</c:v>
                </c:pt>
                <c:pt idx="8">
                  <c:v>4.7666666666666666</c:v>
                </c:pt>
              </c:numCache>
            </c:numRef>
          </c:yVal>
          <c:smooth val="0"/>
        </c:ser>
        <c:ser>
          <c:idx val="3"/>
          <c:order val="1"/>
          <c:tx>
            <c:strRef>
              <c:f>'Minimum Vin'!$E$7</c:f>
              <c:strCache>
                <c:ptCount val="1"/>
                <c:pt idx="0">
                  <c:v>Vin min (loss of reg)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'Minimum Vin'!$C$8:$C$16</c:f>
              <c:numCache>
                <c:formatCode>General</c:formatCode>
                <c:ptCount val="9"/>
                <c:pt idx="0">
                  <c:v>0.1</c:v>
                </c:pt>
                <c:pt idx="1">
                  <c:v>0.2</c:v>
                </c:pt>
                <c:pt idx="2">
                  <c:v>0.5</c:v>
                </c:pt>
                <c:pt idx="3">
                  <c:v>0.8</c:v>
                </c:pt>
                <c:pt idx="4">
                  <c:v>1</c:v>
                </c:pt>
                <c:pt idx="5">
                  <c:v>1.2</c:v>
                </c:pt>
                <c:pt idx="6">
                  <c:v>1.5</c:v>
                </c:pt>
                <c:pt idx="7">
                  <c:v>1.8</c:v>
                </c:pt>
                <c:pt idx="8">
                  <c:v>2</c:v>
                </c:pt>
              </c:numCache>
            </c:numRef>
          </c:xVal>
          <c:yVal>
            <c:numRef>
              <c:f>'Minimum Vin'!$E$8:$E$16</c:f>
              <c:numCache>
                <c:formatCode>0.00</c:formatCode>
                <c:ptCount val="9"/>
                <c:pt idx="0">
                  <c:v>3.4746891191709848</c:v>
                </c:pt>
                <c:pt idx="1">
                  <c:v>3.5296891191709845</c:v>
                </c:pt>
                <c:pt idx="2">
                  <c:v>3.6946891191709845</c:v>
                </c:pt>
                <c:pt idx="3">
                  <c:v>3.8596891191709846</c:v>
                </c:pt>
                <c:pt idx="4">
                  <c:v>3.9696891191709849</c:v>
                </c:pt>
                <c:pt idx="5">
                  <c:v>4.0796891191709843</c:v>
                </c:pt>
                <c:pt idx="6">
                  <c:v>4.2446891191709843</c:v>
                </c:pt>
                <c:pt idx="7">
                  <c:v>4.4096891191709844</c:v>
                </c:pt>
                <c:pt idx="8">
                  <c:v>4.5196891191709847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327552"/>
        <c:axId val="114329088"/>
      </c:scatterChart>
      <c:valAx>
        <c:axId val="114327552"/>
        <c:scaling>
          <c:orientation val="minMax"/>
          <c:max val="2.0499999999999998"/>
          <c:min val="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spPr>
          <a:ln w="25400"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4329088"/>
        <c:crosses val="autoZero"/>
        <c:crossBetween val="midCat"/>
        <c:majorUnit val="0.2"/>
      </c:valAx>
      <c:valAx>
        <c:axId val="11432908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spPr>
          <a:ln w="25400"/>
        </c:spPr>
        <c:crossAx val="114327552"/>
        <c:crosses val="autoZero"/>
        <c:crossBetween val="midCat"/>
      </c:valAx>
      <c:spPr>
        <a:ln w="25400">
          <a:noFill/>
        </a:ln>
      </c:spPr>
    </c:plotArea>
    <c:legend>
      <c:legendPos val="r"/>
      <c:layout>
        <c:manualLayout>
          <c:xMode val="edge"/>
          <c:yMode val="edge"/>
          <c:x val="0.66358169641606191"/>
          <c:y val="0.41081630618957438"/>
          <c:w val="0.26141171855297451"/>
          <c:h val="0.12858952124655304"/>
        </c:manualLayout>
      </c:layout>
      <c:overlay val="0"/>
      <c:spPr>
        <a:solidFill>
          <a:schemeClr val="bg1"/>
        </a:solidFill>
        <a:ln w="25400">
          <a:solidFill>
            <a:schemeClr val="tx1"/>
          </a:solidFill>
        </a:ln>
      </c:sp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trlProps/ctrlProp1.xml><?xml version="1.0" encoding="utf-8"?>
<formControlPr xmlns="http://schemas.microsoft.com/office/spreadsheetml/2009/9/main" objectType="CheckBox" checked="Checked" fmlaLink="UseLDO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11767</xdr:colOff>
      <xdr:row>32</xdr:row>
      <xdr:rowOff>66116</xdr:rowOff>
    </xdr:from>
    <xdr:to>
      <xdr:col>23</xdr:col>
      <xdr:colOff>806822</xdr:colOff>
      <xdr:row>49</xdr:row>
      <xdr:rowOff>179294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6165</xdr:colOff>
      <xdr:row>17</xdr:row>
      <xdr:rowOff>48187</xdr:rowOff>
    </xdr:from>
    <xdr:to>
      <xdr:col>23</xdr:col>
      <xdr:colOff>806823</xdr:colOff>
      <xdr:row>32</xdr:row>
      <xdr:rowOff>56029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814107</xdr:colOff>
      <xdr:row>32</xdr:row>
      <xdr:rowOff>58269</xdr:rowOff>
    </xdr:from>
    <xdr:to>
      <xdr:col>50</xdr:col>
      <xdr:colOff>291352</xdr:colOff>
      <xdr:row>49</xdr:row>
      <xdr:rowOff>179294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815788</xdr:colOff>
      <xdr:row>17</xdr:row>
      <xdr:rowOff>45944</xdr:rowOff>
    </xdr:from>
    <xdr:to>
      <xdr:col>50</xdr:col>
      <xdr:colOff>291354</xdr:colOff>
      <xdr:row>32</xdr:row>
      <xdr:rowOff>56029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410134</xdr:colOff>
      <xdr:row>32</xdr:row>
      <xdr:rowOff>55470</xdr:rowOff>
    </xdr:from>
    <xdr:to>
      <xdr:col>14</xdr:col>
      <xdr:colOff>0</xdr:colOff>
      <xdr:row>49</xdr:row>
      <xdr:rowOff>179294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17</xdr:row>
      <xdr:rowOff>42022</xdr:rowOff>
    </xdr:from>
    <xdr:to>
      <xdr:col>14</xdr:col>
      <xdr:colOff>0</xdr:colOff>
      <xdr:row>32</xdr:row>
      <xdr:rowOff>67234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8</xdr:col>
      <xdr:colOff>0</xdr:colOff>
      <xdr:row>51</xdr:row>
      <xdr:rowOff>0</xdr:rowOff>
    </xdr:from>
    <xdr:ext cx="3318088" cy="280205"/>
    <xdr:sp macro="" textlink="">
      <xdr:nvSpPr>
        <xdr:cNvPr id="8" name="TextBox 7"/>
        <xdr:cNvSpPr txBox="1"/>
      </xdr:nvSpPr>
      <xdr:spPr>
        <a:xfrm>
          <a:off x="7448550" y="10191750"/>
          <a:ext cx="3318088" cy="28020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none" rtlCol="0" anchor="t">
          <a:spAutoFit/>
        </a:bodyPr>
        <a:lstStyle/>
        <a:p>
          <a:r>
            <a:rPr lang="en-US" sz="1200" b="1"/>
            <a:t>Closed loop Bode plot (for phase margin reading)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261939</xdr:colOff>
      <xdr:row>36</xdr:row>
      <xdr:rowOff>0</xdr:rowOff>
    </xdr:from>
    <xdr:to>
      <xdr:col>1</xdr:col>
      <xdr:colOff>490539</xdr:colOff>
      <xdr:row>37</xdr:row>
      <xdr:rowOff>38100</xdr:rowOff>
    </xdr:to>
    <xdr:sp macro="" textlink="">
      <xdr:nvSpPr>
        <xdr:cNvPr id="2" name="Rounded Rectangle 1"/>
        <xdr:cNvSpPr/>
      </xdr:nvSpPr>
      <xdr:spPr>
        <a:xfrm>
          <a:off x="452439" y="4400550"/>
          <a:ext cx="228600" cy="228600"/>
        </a:xfrm>
        <a:prstGeom prst="roundRect">
          <a:avLst/>
        </a:prstGeom>
        <a:solidFill>
          <a:srgbClr val="00FFFF"/>
        </a:solidFill>
        <a:ln>
          <a:solidFill>
            <a:srgbClr val="00FFFF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35</xdr:row>
          <xdr:rowOff>133350</xdr:rowOff>
        </xdr:from>
        <xdr:to>
          <xdr:col>1</xdr:col>
          <xdr:colOff>571500</xdr:colOff>
          <xdr:row>37</xdr:row>
          <xdr:rowOff>66675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18</xdr:row>
      <xdr:rowOff>28575</xdr:rowOff>
    </xdr:from>
    <xdr:to>
      <xdr:col>7</xdr:col>
      <xdr:colOff>114300</xdr:colOff>
      <xdr:row>37</xdr:row>
      <xdr:rowOff>171450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nsemi.com/890100/Copy%20of%20NCV8901_DWS,XL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CV8902XX_MAXAMBTEM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NCV8901XX-02XXMINVI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troduction"/>
      <sheetName val="2. Design Parameters"/>
      <sheetName val="3. Feedback Resistors"/>
      <sheetName val="3. Boost Inductor"/>
      <sheetName val="4. Current Sense Resistor"/>
      <sheetName val="5. Output Capacitors"/>
      <sheetName val="Input Capacitor"/>
      <sheetName val="6. Diode"/>
      <sheetName val="7. MOSFET"/>
      <sheetName val="8. Loop Compensation"/>
      <sheetName val="Design Information"/>
      <sheetName val="Calculations"/>
      <sheetName val="Sheet1"/>
    </sheetNames>
    <sheetDataSet>
      <sheetData sheetId="0" refreshError="1"/>
      <sheetData sheetId="1" refreshError="1"/>
      <sheetData sheetId="2" refreshError="1"/>
      <sheetData sheetId="3">
        <row r="12">
          <cell r="B12">
            <v>2.08E-6</v>
          </cell>
        </row>
      </sheetData>
      <sheetData sheetId="4" refreshError="1"/>
      <sheetData sheetId="5">
        <row r="15">
          <cell r="C15">
            <v>1.0416666666666666E-2</v>
          </cell>
        </row>
      </sheetData>
      <sheetData sheetId="6" refreshError="1"/>
      <sheetData sheetId="7" refreshError="1"/>
      <sheetData sheetId="8" refreshError="1"/>
      <sheetData sheetId="9">
        <row r="1">
          <cell r="AQ1" t="str">
            <v>°</v>
          </cell>
        </row>
        <row r="2">
          <cell r="Z2">
            <v>1</v>
          </cell>
          <cell r="AI2">
            <v>-0.23927531200898353</v>
          </cell>
        </row>
        <row r="3">
          <cell r="Z3">
            <v>1.0634378492473788</v>
          </cell>
          <cell r="AI3">
            <v>-0.25445422772829379</v>
          </cell>
        </row>
        <row r="4">
          <cell r="Z4">
            <v>1.1309000592118907</v>
          </cell>
          <cell r="AI4">
            <v>-0.27059602160855623</v>
          </cell>
        </row>
        <row r="5">
          <cell r="Z5">
            <v>1.2026419266820265</v>
          </cell>
          <cell r="AI5">
            <v>-0.28776176854376251</v>
          </cell>
        </row>
        <row r="6">
          <cell r="Z6">
            <v>1.278934943925458</v>
          </cell>
          <cell r="AI6">
            <v>-0.30601641626158638</v>
          </cell>
        </row>
        <row r="7">
          <cell r="Z7">
            <v>1.3600678260954062</v>
          </cell>
          <cell r="AI7">
            <v>-0.32542903067810408</v>
          </cell>
        </row>
        <row r="8">
          <cell r="Z8">
            <v>1.4463476038134566</v>
          </cell>
          <cell r="AI8">
            <v>-0.34607305675054162</v>
          </cell>
        </row>
        <row r="9">
          <cell r="Z9">
            <v>1.5381007850634825</v>
          </cell>
          <cell r="AI9">
            <v>-0.36802659579766672</v>
          </cell>
        </row>
        <row r="10">
          <cell r="Z10">
            <v>1.6356745907936145</v>
          </cell>
          <cell r="AI10">
            <v>-0.39137270031624344</v>
          </cell>
        </row>
        <row r="11">
          <cell r="Z11">
            <v>1.7394382689021479</v>
          </cell>
          <cell r="AI11">
            <v>-0.41619968738389718</v>
          </cell>
        </row>
        <row r="12">
          <cell r="Z12">
            <v>1.849784491579884</v>
          </cell>
          <cell r="AI12">
            <v>-0.44260147180396053</v>
          </cell>
        </row>
        <row r="13">
          <cell r="Z13">
            <v>1.967130841296868</v>
          </cell>
          <cell r="AI13">
            <v>-0.4706779202164183</v>
          </cell>
        </row>
        <row r="14">
          <cell r="Z14">
            <v>2.0919213910569279</v>
          </cell>
          <cell r="AI14">
            <v>-0.50053522747096824</v>
          </cell>
        </row>
        <row r="15">
          <cell r="Z15">
            <v>2.2246283849001642</v>
          </cell>
          <cell r="AI15">
            <v>-0.53228631663358184</v>
          </cell>
        </row>
        <row r="16">
          <cell r="Z16">
            <v>2.365754025012901</v>
          </cell>
          <cell r="AI16">
            <v>-0.56605126407666728</v>
          </cell>
        </row>
        <row r="17">
          <cell r="Z17">
            <v>2.5158323722080485</v>
          </cell>
          <cell r="AI17">
            <v>-0.60195775118496531</v>
          </cell>
        </row>
        <row r="18">
          <cell r="Z18">
            <v>2.6754313669678584</v>
          </cell>
          <cell r="AI18">
            <v>-0.64014154429451198</v>
          </cell>
        </row>
        <row r="19">
          <cell r="Z19">
            <v>2.8451549786972743</v>
          </cell>
          <cell r="AI19">
            <v>-0.68074700457035575</v>
          </cell>
        </row>
        <row r="20">
          <cell r="Z20">
            <v>3.0256454913213009</v>
          </cell>
          <cell r="AI20">
            <v>-0.72392762961934531</v>
          </cell>
        </row>
        <row r="21">
          <cell r="Z21">
            <v>3.2175859338757533</v>
          </cell>
          <cell r="AI21">
            <v>-0.7698466287279716</v>
          </cell>
        </row>
        <row r="22">
          <cell r="Z22">
            <v>3.42170266528945</v>
          </cell>
          <cell r="AI22">
            <v>-0.81867753370958052</v>
          </cell>
        </row>
        <row r="23">
          <cell r="Z23">
            <v>3.6387681231394358</v>
          </cell>
          <cell r="AI23">
            <v>-0.87060484744162547</v>
          </cell>
        </row>
        <row r="24">
          <cell r="Z24">
            <v>3.8696037467813236</v>
          </cell>
          <cell r="AI24">
            <v>-0.92582473226935946</v>
          </cell>
        </row>
        <row r="25">
          <cell r="Z25">
            <v>4.1150830859167291</v>
          </cell>
          <cell r="AI25">
            <v>-0.98454574054702648</v>
          </cell>
        </row>
        <row r="26">
          <cell r="Z26">
            <v>4.376135106361553</v>
          </cell>
          <cell r="AI26">
            <v>-1.046989589679993</v>
          </cell>
        </row>
        <row r="27">
          <cell r="Z27">
            <v>4.6537477055250784</v>
          </cell>
          <cell r="AI27">
            <v>-1.1133919841180082</v>
          </cell>
        </row>
        <row r="28">
          <cell r="Z28">
            <v>4.9489714509035139</v>
          </cell>
          <cell r="AI28">
            <v>-1.184003486830947</v>
          </cell>
        </row>
        <row r="29">
          <cell r="Z29">
            <v>5.2629235557355134</v>
          </cell>
          <cell r="AI29">
            <v>-1.25909044286813</v>
          </cell>
        </row>
        <row r="30">
          <cell r="Z30">
            <v>5.5967921068647417</v>
          </cell>
          <cell r="AI30">
            <v>-1.3389359576592914</v>
          </cell>
        </row>
        <row r="31">
          <cell r="Z31">
            <v>5.9518405608089449</v>
          </cell>
          <cell r="AI31">
            <v>-1.423840932754149</v>
          </cell>
        </row>
        <row r="32">
          <cell r="Z32">
            <v>6.3294125250499764</v>
          </cell>
          <cell r="AI32">
            <v>-1.5141251617122169</v>
          </cell>
        </row>
        <row r="33">
          <cell r="Z33">
            <v>6.7309368426385694</v>
          </cell>
          <cell r="AI33">
            <v>-1.6101284888399865</v>
          </cell>
        </row>
        <row r="34">
          <cell r="Z34">
            <v>7.1579329993555039</v>
          </cell>
          <cell r="AI34">
            <v>-1.7122120334188695</v>
          </cell>
        </row>
        <row r="35">
          <cell r="Z35">
            <v>7.6120168738914558</v>
          </cell>
          <cell r="AI35">
            <v>-1.820759481966252</v>
          </cell>
        </row>
        <row r="36">
          <cell r="Z36">
            <v>8.0949068528058863</v>
          </cell>
          <cell r="AI36">
            <v>-1.9361784509111435</v>
          </cell>
        </row>
        <row r="37">
          <cell r="Z37">
            <v>8.6084303334057619</v>
          </cell>
          <cell r="AI37">
            <v>-2.0589019218305231</v>
          </cell>
        </row>
        <row r="38">
          <cell r="Z38">
            <v>9.1545306391529166</v>
          </cell>
          <cell r="AI38">
            <v>-2.1893897510670457</v>
          </cell>
        </row>
        <row r="39">
          <cell r="Z39">
            <v>9.7352743737700074</v>
          </cell>
          <cell r="AI39">
            <v>-2.3281302551108847</v>
          </cell>
        </row>
        <row r="40">
          <cell r="Z40">
            <v>10.352859241875105</v>
          </cell>
          <cell r="AI40">
            <v>-2.4756418725558538</v>
          </cell>
        </row>
        <row r="41">
          <cell r="Z41">
            <v>11.009622365740512</v>
          </cell>
          <cell r="AI41">
            <v>-2.6324749027012446</v>
          </cell>
        </row>
        <row r="42">
          <cell r="Z42">
            <v>11.708049129648925</v>
          </cell>
          <cell r="AI42">
            <v>-2.7992133199336693</v>
          </cell>
        </row>
        <row r="43">
          <cell r="Z43">
            <v>12.4507825853165</v>
          </cell>
          <cell r="AI43">
            <v>-2.9764766618443934</v>
          </cell>
        </row>
        <row r="44">
          <cell r="Z44">
            <v>13.240633453975693</v>
          </cell>
          <cell r="AI44">
            <v>-3.164921987570589</v>
          </cell>
        </row>
        <row r="45">
          <cell r="Z45">
            <v>14.080590762968805</v>
          </cell>
          <cell r="AI45">
            <v>-3.3652459010351654</v>
          </cell>
        </row>
        <row r="46">
          <cell r="Z46">
            <v>14.973833157104059</v>
          </cell>
          <cell r="AI46">
            <v>-3.5781866315330149</v>
          </cell>
        </row>
        <row r="47">
          <cell r="Z47">
            <v>15.923740927579823</v>
          </cell>
          <cell r="AI47">
            <v>-3.804526161393651</v>
          </cell>
        </row>
        <row r="48">
          <cell r="Z48">
            <v>16.933908803997952</v>
          </cell>
          <cell r="AI48">
            <v>-4.0450923871503175</v>
          </cell>
        </row>
        <row r="49">
          <cell r="Z49">
            <v>18.008159557874837</v>
          </cell>
          <cell r="AI49">
            <v>-4.3007612966594388</v>
          </cell>
        </row>
        <row r="50">
          <cell r="Z50">
            <v>19.150558469130036</v>
          </cell>
          <cell r="AI50">
            <v>-4.5724591398221559</v>
          </cell>
        </row>
        <row r="51">
          <cell r="Z51">
            <v>20.365428710297824</v>
          </cell>
          <cell r="AI51">
            <v>-4.8611645648267992</v>
          </cell>
        </row>
        <row r="52">
          <cell r="Z52">
            <v>21.657367706679931</v>
          </cell>
          <cell r="AI52">
            <v>-5.1679106850031022</v>
          </cell>
        </row>
        <row r="53">
          <cell r="Z53">
            <v>23.031264534351347</v>
          </cell>
          <cell r="AI53">
            <v>-5.4937870332934695</v>
          </cell>
        </row>
        <row r="54">
          <cell r="Z54">
            <v>24.492318421858034</v>
          </cell>
          <cell r="AI54">
            <v>-5.8399413518123824</v>
          </cell>
        </row>
        <row r="55">
          <cell r="Z55">
            <v>26.046058425622668</v>
          </cell>
          <cell r="AI55">
            <v>-6.2075811528007314</v>
          </cell>
        </row>
        <row r="56">
          <cell r="Z56">
            <v>27.698364353515743</v>
          </cell>
          <cell r="AI56">
            <v>-6.5979749742753002</v>
          </cell>
        </row>
        <row r="57">
          <cell r="Z57">
            <v>29.45548901577305</v>
          </cell>
          <cell r="AI57">
            <v>-7.0124532386473106</v>
          </cell>
        </row>
        <row r="58">
          <cell r="Z58">
            <v>31.324081887463471</v>
          </cell>
          <cell r="AI58">
            <v>-7.4524086053463705</v>
          </cell>
        </row>
        <row r="59">
          <cell r="Z59">
            <v>33.311214272052936</v>
          </cell>
          <cell r="AI59">
            <v>-7.9192956889129551</v>
          </cell>
        </row>
        <row r="60">
          <cell r="Z60">
            <v>35.424406061290533</v>
          </cell>
          <cell r="AI60">
            <v>-8.4146299920454517</v>
          </cell>
        </row>
        <row r="61">
          <cell r="Z61">
            <v>37.67165419268462</v>
          </cell>
          <cell r="AI61">
            <v>-8.9399858787311821</v>
          </cell>
        </row>
        <row r="62">
          <cell r="Z62">
            <v>40.061462912259522</v>
          </cell>
          <cell r="AI62">
            <v>-9.4969933860733207</v>
          </cell>
        </row>
        <row r="63">
          <cell r="Z63">
            <v>42.602875957116908</v>
          </cell>
          <cell r="AI63">
            <v>-10.087333645138447</v>
          </cell>
        </row>
        <row r="64">
          <cell r="Z64">
            <v>45.305510779589277</v>
          </cell>
          <cell r="AI64">
            <v>-10.71273265184063</v>
          </cell>
        </row>
        <row r="65">
          <cell r="Z65">
            <v>48.179594942500358</v>
          </cell>
          <cell r="AI65">
            <v>-11.374953099657228</v>
          </cell>
        </row>
        <row r="66">
          <cell r="Z66">
            <v>51.236004823262483</v>
          </cell>
          <cell r="AI66">
            <v>-12.075783958499066</v>
          </cell>
        </row>
        <row r="67">
          <cell r="Z67">
            <v>54.486306773278585</v>
          </cell>
          <cell r="AI67">
            <v>-12.817027460634787</v>
          </cell>
        </row>
        <row r="68">
          <cell r="Z68">
            <v>57.94280088840825</v>
          </cell>
          <cell r="AI68">
            <v>-13.600483138279156</v>
          </cell>
        </row>
        <row r="69">
          <cell r="Z69">
            <v>61.61856755613799</v>
          </cell>
          <cell r="AI69">
            <v>-14.427928552311434</v>
          </cell>
        </row>
        <row r="70">
          <cell r="Z70">
            <v>65.527516955603716</v>
          </cell>
          <cell r="AI70">
            <v>-15.301096362582202</v>
          </cell>
        </row>
        <row r="71">
          <cell r="Z71">
            <v>69.684441697788372</v>
          </cell>
          <cell r="AI71">
            <v>-16.221647423442462</v>
          </cell>
        </row>
        <row r="72">
          <cell r="Z72">
            <v>74.105072805100434</v>
          </cell>
          <cell r="AI72">
            <v>-17.191139650437155</v>
          </cell>
        </row>
        <row r="73">
          <cell r="Z73">
            <v>78.806139242176371</v>
          </cell>
          <cell r="AI73">
            <v>-18.210992503162743</v>
          </cell>
        </row>
        <row r="74">
          <cell r="Z74">
            <v>83.805431223189501</v>
          </cell>
          <cell r="AI74">
            <v>-19.282447072840149</v>
          </cell>
        </row>
        <row r="75">
          <cell r="Z75">
            <v>89.121867535237712</v>
          </cell>
          <cell r="AI75">
            <v>-20.406521958198322</v>
          </cell>
        </row>
        <row r="76">
          <cell r="Z76">
            <v>94.775567132582992</v>
          </cell>
          <cell r="AI76">
            <v>-21.583965364858773</v>
          </cell>
        </row>
        <row r="77">
          <cell r="Z77">
            <v>100.78792527267464</v>
          </cell>
          <cell r="AI77">
            <v>-22.81520417296024</v>
          </cell>
        </row>
        <row r="78">
          <cell r="Z78">
            <v>107.18169448207877</v>
          </cell>
          <cell r="AI78">
            <v>-24.100291081113195</v>
          </cell>
        </row>
        <row r="79">
          <cell r="Z79">
            <v>113.98107065871142</v>
          </cell>
          <cell r="AI79">
            <v>-25.438851339921477</v>
          </cell>
        </row>
        <row r="80">
          <cell r="Z80">
            <v>121.21178463621371</v>
          </cell>
          <cell r="AI80">
            <v>-26.830031013502186</v>
          </cell>
        </row>
        <row r="81">
          <cell r="Z81">
            <v>128.90119955697148</v>
          </cell>
          <cell r="AI81">
            <v>-28.2724491196645</v>
          </cell>
        </row>
        <row r="82">
          <cell r="Z82">
            <v>137.07841442227294</v>
          </cell>
          <cell r="AI82">
            <v>-29.764156354399585</v>
          </cell>
        </row>
        <row r="83">
          <cell r="Z83">
            <v>145.77437421146283</v>
          </cell>
          <cell r="AI83">
            <v>-31.30260335043091</v>
          </cell>
        </row>
        <row r="84">
          <cell r="Z84">
            <v>155.02198698682062</v>
          </cell>
          <cell r="AI84">
            <v>-32.884621494262198</v>
          </cell>
        </row>
        <row r="85">
          <cell r="Z85">
            <v>164.85624842731968</v>
          </cell>
          <cell r="AI85">
            <v>-34.506419175507403</v>
          </cell>
        </row>
        <row r="86">
          <cell r="Z86">
            <v>175.3143742625403</v>
          </cell>
          <cell r="AI86">
            <v>-36.163595922812732</v>
          </cell>
        </row>
        <row r="87">
          <cell r="Z87">
            <v>186.43594110790573</v>
          </cell>
          <cell r="AI87">
            <v>-37.851176172540072</v>
          </cell>
        </row>
        <row r="88">
          <cell r="Z88">
            <v>198.26303623420247</v>
          </cell>
          <cell r="AI88">
            <v>-39.563663433664836</v>
          </cell>
        </row>
        <row r="89">
          <cell r="Z89">
            <v>210.84041683815525</v>
          </cell>
          <cell r="AI89">
            <v>-41.295114409760536</v>
          </cell>
        </row>
        <row r="90">
          <cell r="Z90">
            <v>224.21567941678887</v>
          </cell>
          <cell r="AI90">
            <v>-43.039231312269678</v>
          </cell>
        </row>
        <row r="91">
          <cell r="Z91">
            <v>238.43943988652958</v>
          </cell>
          <cell r="AI91">
            <v>-44.789469277411179</v>
          </cell>
        </row>
        <row r="92">
          <cell r="Z92">
            <v>253.56552512868072</v>
          </cell>
          <cell r="AI92">
            <v>-46.539154628138981</v>
          </cell>
        </row>
        <row r="93">
          <cell r="Z93">
            <v>269.65117668612646</v>
          </cell>
          <cell r="AI93">
            <v>-48.281608843558757</v>
          </cell>
        </row>
        <row r="94">
          <cell r="Z94">
            <v>286.75726738211927</v>
          </cell>
          <cell r="AI94">
            <v>-50.010272623071856</v>
          </cell>
        </row>
        <row r="95">
          <cell r="Z95">
            <v>304.94853168089651</v>
          </cell>
          <cell r="AI95">
            <v>-51.71882442373402</v>
          </cell>
        </row>
        <row r="96">
          <cell r="Z96">
            <v>324.29381066187881</v>
          </cell>
          <cell r="AI96">
            <v>-53.401288308039852</v>
          </cell>
        </row>
        <row r="97">
          <cell r="Z97">
            <v>344.8663125345048</v>
          </cell>
          <cell r="AI97">
            <v>-55.05212680522385</v>
          </cell>
        </row>
        <row r="98">
          <cell r="Z98">
            <v>366.74388967956821</v>
          </cell>
          <cell r="AI98">
            <v>-56.666315651713774</v>
          </cell>
        </row>
        <row r="99">
          <cell r="Z99">
            <v>390.00933326545766</v>
          </cell>
          <cell r="AI99">
            <v>-58.239398595228124</v>
          </cell>
        </row>
        <row r="100">
          <cell r="Z100">
            <v>414.75068655422291</v>
          </cell>
          <cell r="AI100">
            <v>-59.767521775892071</v>
          </cell>
        </row>
        <row r="101">
          <cell r="Z101">
            <v>441.06157808309626</v>
          </cell>
          <cell r="AI101">
            <v>-61.247448406705416</v>
          </cell>
        </row>
        <row r="102">
          <cell r="Z102">
            <v>469.04157598234281</v>
          </cell>
          <cell r="AI102">
            <v>-62.676555467625604</v>
          </cell>
        </row>
        <row r="103">
          <cell r="Z103">
            <v>498.79656477026373</v>
          </cell>
          <cell r="AI103">
            <v>-64.052814846134225</v>
          </cell>
        </row>
        <row r="104">
          <cell r="Z104">
            <v>530.4391460512702</v>
          </cell>
          <cell r="AI104">
            <v>-65.374761786953115</v>
          </cell>
        </row>
        <row r="105">
          <cell r="Z105">
            <v>564.08906463337905</v>
          </cell>
          <cell r="AI105">
            <v>-66.641453673345225</v>
          </cell>
        </row>
        <row r="106">
          <cell r="Z106">
            <v>599.87366167768641</v>
          </cell>
          <cell r="AI106">
            <v>-67.852422094975836</v>
          </cell>
        </row>
        <row r="107">
          <cell r="Z107">
            <v>637.92835659466812</v>
          </cell>
          <cell r="AI107">
            <v>-69.00762091829327</v>
          </cell>
        </row>
        <row r="108">
          <cell r="Z108">
            <v>678.39715951094945</v>
          </cell>
          <cell r="AI108">
            <v>-70.107372723387442</v>
          </cell>
        </row>
        <row r="109">
          <cell r="Z109">
            <v>721.43321624585462</v>
          </cell>
          <cell r="AI109">
            <v>-71.152315560209431</v>
          </cell>
        </row>
        <row r="110">
          <cell r="Z110">
            <v>767.19938786011153</v>
          </cell>
          <cell r="AI110">
            <v>-72.143351551585368</v>
          </cell>
        </row>
        <row r="111">
          <cell r="Z111">
            <v>815.86886696986198</v>
          </cell>
          <cell r="AI111">
            <v>-73.081598464030833</v>
          </cell>
        </row>
        <row r="112">
          <cell r="Z112">
            <v>867.62583315832671</v>
          </cell>
          <cell r="AI112">
            <v>-73.968345002142044</v>
          </cell>
        </row>
        <row r="113">
          <cell r="Z113">
            <v>922.66614996535543</v>
          </cell>
          <cell r="AI113">
            <v>-74.805010270607582</v>
          </cell>
        </row>
        <row r="114">
          <cell r="Z114">
            <v>981.19810609251715</v>
          </cell>
          <cell r="AI114">
            <v>-75.593107594085268</v>
          </cell>
        </row>
        <row r="115">
          <cell r="Z115">
            <v>1043.443203628628</v>
          </cell>
          <cell r="AI115">
            <v>-76.334212688044772</v>
          </cell>
        </row>
        <row r="116">
          <cell r="Z116">
            <v>1109.6369962786232</v>
          </cell>
          <cell r="AI116">
            <v>-77.029936028281867</v>
          </cell>
        </row>
        <row r="117">
          <cell r="Z117">
            <v>1180.0299807678607</v>
          </cell>
          <cell r="AI117">
            <v>-77.681899166166332</v>
          </cell>
        </row>
        <row r="118">
          <cell r="Z118">
            <v>1254.8885447951977</v>
          </cell>
          <cell r="AI118">
            <v>-78.291714673095356</v>
          </cell>
        </row>
        <row r="119">
          <cell r="Z119">
            <v>1334.4959751221782</v>
          </cell>
          <cell r="AI119">
            <v>-78.86096936344515</v>
          </cell>
        </row>
        <row r="120">
          <cell r="Z120">
            <v>1419.1535296132129</v>
          </cell>
          <cell r="AI120">
            <v>-79.391210433554718</v>
          </cell>
        </row>
        <row r="121">
          <cell r="Z121">
            <v>1509.1815772837017</v>
          </cell>
          <cell r="AI121">
            <v>-79.883934158888508</v>
          </cell>
        </row>
        <row r="122">
          <cell r="Z122">
            <v>1604.9208106703452</v>
          </cell>
          <cell r="AI122">
            <v>-80.340576807448983</v>
          </cell>
        </row>
        <row r="123">
          <cell r="Z123">
            <v>1706.7335351116335</v>
          </cell>
          <cell r="AI123">
            <v>-80.762507450733835</v>
          </cell>
        </row>
        <row r="124">
          <cell r="Z124">
            <v>1815.0050398174897</v>
          </cell>
          <cell r="AI124">
            <v>-81.151022380927287</v>
          </cell>
        </row>
        <row r="125">
          <cell r="Z125">
            <v>1930.1450559166665</v>
          </cell>
          <cell r="AI125">
            <v>-81.507340872261963</v>
          </cell>
        </row>
        <row r="126">
          <cell r="Z126">
            <v>2052.58930699948</v>
          </cell>
          <cell r="AI126">
            <v>-81.832602053935204</v>
          </cell>
        </row>
        <row r="127">
          <cell r="Z127">
            <v>2182.8011580236971</v>
          </cell>
          <cell r="AI127">
            <v>-82.127862690454464</v>
          </cell>
        </row>
        <row r="128">
          <cell r="Z128">
            <v>2321.2733688234066</v>
          </cell>
          <cell r="AI128">
            <v>-82.394095692125092</v>
          </cell>
        </row>
        <row r="129">
          <cell r="Z129">
            <v>2468.5299588567814</v>
          </cell>
          <cell r="AI129">
            <v>-82.632189203144534</v>
          </cell>
        </row>
        <row r="130">
          <cell r="Z130">
            <v>2625.1281902493761</v>
          </cell>
          <cell r="AI130">
            <v>-82.842946137261421</v>
          </cell>
        </row>
        <row r="131">
          <cell r="Z131">
            <v>2791.6606766374607</v>
          </cell>
          <cell r="AI131">
            <v>-83.027084051166227</v>
          </cell>
        </row>
        <row r="132">
          <cell r="Z132">
            <v>2968.757625791824</v>
          </cell>
          <cell r="AI132">
            <v>-83.185235263807513</v>
          </cell>
        </row>
        <row r="133">
          <cell r="Z133">
            <v>3157.0892245088098</v>
          </cell>
          <cell r="AI133">
            <v>-83.317947145819645</v>
          </cell>
        </row>
        <row r="134">
          <cell r="Z134">
            <v>3357.3681747937244</v>
          </cell>
          <cell r="AI134">
            <v>-83.425682517438872</v>
          </cell>
        </row>
        <row r="135">
          <cell r="Z135">
            <v>3570.3523909342362</v>
          </cell>
          <cell r="AI135">
            <v>-83.508820105895026</v>
          </cell>
        </row>
        <row r="136">
          <cell r="Z136">
            <v>3796.8478676703417</v>
          </cell>
          <cell r="AI136">
            <v>-83.567655024558576</v>
          </cell>
        </row>
        <row r="137">
          <cell r="Z137">
            <v>4037.7117303148448</v>
          </cell>
          <cell r="AI137">
            <v>-83.602399246344902</v>
          </cell>
        </row>
        <row r="138">
          <cell r="Z138">
            <v>4293.8554783669315</v>
          </cell>
          <cell r="AI138">
            <v>-83.613182053292022</v>
          </cell>
        </row>
        <row r="139">
          <cell r="Z139">
            <v>4566.248434893605</v>
          </cell>
          <cell r="AI139">
            <v>-83.600050453082403</v>
          </cell>
        </row>
        <row r="140">
          <cell r="Z140">
            <v>4855.9214147324665</v>
          </cell>
          <cell r="AI140">
            <v>-83.5629695618249</v>
          </cell>
        </row>
        <row r="141">
          <cell r="Z141">
            <v>5163.9706253973836</v>
          </cell>
          <cell r="AI141">
            <v>-83.5018229609027</v>
          </cell>
        </row>
        <row r="142">
          <cell r="Z142">
            <v>5491.5618154492358</v>
          </cell>
          <cell r="AI142">
            <v>-83.416413044366493</v>
          </cell>
        </row>
        <row r="143">
          <cell r="Z143">
            <v>5839.9346860303567</v>
          </cell>
          <cell r="AI143">
            <v>-83.306461382467688</v>
          </cell>
        </row>
        <row r="144">
          <cell r="Z144">
            <v>6210.4075822572904</v>
          </cell>
          <cell r="AI144">
            <v>-83.171609136728549</v>
          </cell>
        </row>
        <row r="145">
          <cell r="Z145">
            <v>6604.3824822253073</v>
          </cell>
          <cell r="AI145">
            <v>-83.011417572692821</v>
          </cell>
        </row>
        <row r="146">
          <cell r="Z146">
            <v>7023.3503025047467</v>
          </cell>
          <cell r="AI146">
            <v>-82.825368728446676</v>
          </cell>
        </row>
        <row r="147">
          <cell r="Z147">
            <v>7468.8965402065769</v>
          </cell>
          <cell r="AI147">
            <v>-82.612866310399383</v>
          </cell>
        </row>
        <row r="148">
          <cell r="Z148">
            <v>7942.7072729684578</v>
          </cell>
          <cell r="AI148">
            <v>-82.373236902914059</v>
          </cell>
        </row>
        <row r="149">
          <cell r="Z149">
            <v>8446.5755395671058</v>
          </cell>
          <cell r="AI149">
            <v>-82.10573159540364</v>
          </cell>
        </row>
        <row r="150">
          <cell r="Z150">
            <v>8982.4081253027471</v>
          </cell>
          <cell r="AI150">
            <v>-81.809528149658718</v>
          </cell>
        </row>
        <row r="151">
          <cell r="Z151">
            <v>9552.2327778341514</v>
          </cell>
          <cell r="AI151">
            <v>-81.483733851571529</v>
          </cell>
        </row>
        <row r="152">
          <cell r="Z152">
            <v>10158.205880770249</v>
          </cell>
          <cell r="AI152">
            <v>-81.127389215123486</v>
          </cell>
        </row>
        <row r="153">
          <cell r="Z153">
            <v>10802.620614058389</v>
          </cell>
          <cell r="AI153">
            <v>-80.739472732408217</v>
          </cell>
        </row>
        <row r="154">
          <cell r="Z154">
            <v>11487.915632049675</v>
          </cell>
          <cell r="AI154">
            <v>-80.318906891292016</v>
          </cell>
        </row>
        <row r="155">
          <cell r="Z155">
            <v>12216.684292082227</v>
          </cell>
          <cell r="AI155">
            <v>-79.864565711511219</v>
          </cell>
        </row>
        <row r="156">
          <cell r="Z156">
            <v>12991.684468506162</v>
          </cell>
          <cell r="AI156">
            <v>-79.375284079672412</v>
          </cell>
        </row>
        <row r="157">
          <cell r="Z157">
            <v>13815.848989288772</v>
          </cell>
          <cell r="AI157">
            <v>-78.849869192377128</v>
          </cell>
        </row>
        <row r="158">
          <cell r="Z158">
            <v>14692.296734695852</v>
          </cell>
          <cell r="AI158">
            <v>-78.287114442571095</v>
          </cell>
        </row>
        <row r="159">
          <cell r="Z159">
            <v>15624.344440049217</v>
          </cell>
          <cell r="AI159">
            <v>-77.685816104547811</v>
          </cell>
        </row>
        <row r="160">
          <cell r="Z160">
            <v>16615.519247226184</v>
          </cell>
          <cell r="AI160">
            <v>-77.0447931842522</v>
          </cell>
        </row>
        <row r="161">
          <cell r="Z161">
            <v>17669.572052398642</v>
          </cell>
          <cell r="AI161">
            <v>-76.362910799144842</v>
          </cell>
        </row>
        <row r="162">
          <cell r="Z162">
            <v>18790.49170052441</v>
          </cell>
          <cell r="AI162">
            <v>-75.639107430344211</v>
          </cell>
        </row>
        <row r="163">
          <cell r="Z163">
            <v>19982.5200803064</v>
          </cell>
          <cell r="AI163">
            <v>-74.872426342542155</v>
          </cell>
        </row>
        <row r="164">
          <cell r="Z164">
            <v>21250.168176743602</v>
          </cell>
          <cell r="AI164">
            <v>-74.062051386930293</v>
          </cell>
        </row>
        <row r="165">
          <cell r="Z165">
            <v>22598.233142021272</v>
          </cell>
          <cell r="AI165">
            <v>-73.207347281315336</v>
          </cell>
        </row>
        <row r="166">
          <cell r="Z166">
            <v>24031.816449341983</v>
          </cell>
          <cell r="AI166">
            <v>-72.307904292235307</v>
          </cell>
        </row>
        <row r="167">
          <cell r="Z167">
            <v>25556.343198396022</v>
          </cell>
          <cell r="AI167">
            <v>-71.363587020038352</v>
          </cell>
        </row>
        <row r="168">
          <cell r="Z168">
            <v>27177.582645530147</v>
          </cell>
          <cell r="AI168">
            <v>-70.374586706121903</v>
          </cell>
        </row>
        <row r="169">
          <cell r="Z169">
            <v>28901.670036305419</v>
          </cell>
          <cell r="AI169">
            <v>-69.341476143040538</v>
          </cell>
        </row>
        <row r="170">
          <cell r="Z170">
            <v>30735.129823066054</v>
          </cell>
          <cell r="AI170">
            <v>-68.265265880886076</v>
          </cell>
        </row>
        <row r="171">
          <cell r="Z171">
            <v>32684.900355380338</v>
          </cell>
          <cell r="AI171">
            <v>-67.147460003989934</v>
          </cell>
        </row>
        <row r="172">
          <cell r="Z172">
            <v>34758.360136790499</v>
          </cell>
          <cell r="AI172">
            <v>-65.99010932804147</v>
          </cell>
        </row>
        <row r="173">
          <cell r="Z173">
            <v>36963.355747234389</v>
          </cell>
          <cell r="AI173">
            <v>-64.795859478000963</v>
          </cell>
        </row>
        <row r="174">
          <cell r="Z174">
            <v>39308.231536804677</v>
          </cell>
          <cell r="AI174">
            <v>-63.567991001218999</v>
          </cell>
        </row>
        <row r="175">
          <cell r="Z175">
            <v>41801.861203217486</v>
          </cell>
          <cell r="AI175">
            <v>-62.31044850477452</v>
          </cell>
        </row>
        <row r="176">
          <cell r="Z176">
            <v>44453.681372487059</v>
          </cell>
          <cell r="AI176">
            <v>-61.027855839467477</v>
          </cell>
        </row>
        <row r="177">
          <cell r="Z177">
            <v>47273.727309885995</v>
          </cell>
          <cell r="AI177">
            <v>-59.725514635927944</v>
          </cell>
        </row>
        <row r="178">
          <cell r="Z178">
            <v>50272.670896332245</v>
          </cell>
          <cell r="AI178">
            <v>-58.409384063545794</v>
          </cell>
        </row>
        <row r="179">
          <cell r="Z179">
            <v>53461.861013916772</v>
          </cell>
          <cell r="AI179">
            <v>-57.086040533777485</v>
          </cell>
        </row>
        <row r="180">
          <cell r="Z180">
            <v>56853.366493401947</v>
          </cell>
          <cell r="AI180">
            <v>-55.762617171165033</v>
          </cell>
        </row>
        <row r="181">
          <cell r="Z181">
            <v>60460.02178621637</v>
          </cell>
          <cell r="AI181">
            <v>-54.446724151684151</v>
          </cell>
        </row>
        <row r="182">
          <cell r="Z182">
            <v>64295.47553378361</v>
          </cell>
          <cell r="AI182">
            <v>-53.146352344260698</v>
          </cell>
        </row>
        <row r="183">
          <cell r="Z183">
            <v>68374.242217984312</v>
          </cell>
          <cell r="AI183">
            <v>-51.869763947058459</v>
          </cell>
        </row>
        <row r="184">
          <cell r="Z184">
            <v>72711.757088212587</v>
          </cell>
          <cell r="AI184">
            <v>-50.62537483873875</v>
          </cell>
        </row>
        <row r="185">
          <cell r="Z185">
            <v>77324.434572886516</v>
          </cell>
          <cell r="AI185">
            <v>-49.421634037211462</v>
          </cell>
        </row>
        <row r="186">
          <cell r="Z186">
            <v>82229.730396460247</v>
          </cell>
          <cell r="AI186">
            <v>-48.266905885579291</v>
          </cell>
        </row>
        <row r="187">
          <cell r="Z187">
            <v>87446.207637003507</v>
          </cell>
          <cell r="AI187">
            <v>-47.169360335137043</v>
          </cell>
        </row>
        <row r="188">
          <cell r="Z188">
            <v>92993.606974334747</v>
          </cell>
          <cell r="AI188">
            <v>-46.136875999393219</v>
          </cell>
        </row>
        <row r="189">
          <cell r="Z189">
            <v>98892.921394542427</v>
          </cell>
          <cell r="AI189">
            <v>-45.176959599117851</v>
          </cell>
        </row>
        <row r="190">
          <cell r="Z190">
            <v>105166.47563360249</v>
          </cell>
          <cell r="AI190">
            <v>-44.296684134785608</v>
          </cell>
        </row>
        <row r="191">
          <cell r="Z191">
            <v>111838.01066072512</v>
          </cell>
          <cell r="AI191">
            <v>-43.50264675564101</v>
          </cell>
        </row>
        <row r="192">
          <cell r="Z192">
            <v>118932.77352114675</v>
          </cell>
          <cell r="AI192">
            <v>-42.800945983951806</v>
          </cell>
        </row>
        <row r="193">
          <cell r="Z193">
            <v>126477.61287835392</v>
          </cell>
          <cell r="AI193">
            <v>-42.197176813222654</v>
          </cell>
        </row>
        <row r="194">
          <cell r="Z194">
            <v>134501.0806172993</v>
          </cell>
          <cell r="AI194">
            <v>-41.696441306611348</v>
          </cell>
        </row>
        <row r="195">
          <cell r="Z195">
            <v>143033.53989310883</v>
          </cell>
          <cell r="AI195">
            <v>-41.303371711348923</v>
          </cell>
        </row>
        <row r="196">
          <cell r="Z196">
            <v>152107.28003416685</v>
          </cell>
          <cell r="AI196">
            <v>-41.022162773651218</v>
          </cell>
        </row>
        <row r="197">
          <cell r="Z197">
            <v>161756.63873440344</v>
          </cell>
          <cell r="AI197">
            <v>-40.856609854514879</v>
          </cell>
        </row>
        <row r="198">
          <cell r="Z198">
            <v>172018.13199719929</v>
          </cell>
          <cell r="AI198">
            <v>-40.810149560286554</v>
          </cell>
        </row>
        <row r="199">
          <cell r="Z199">
            <v>182930.59232265301</v>
          </cell>
          <cell r="AI199">
            <v>-40.885899856543205</v>
          </cell>
        </row>
        <row r="200">
          <cell r="Z200">
            <v>194535.31566115122</v>
          </cell>
          <cell r="AI200">
            <v>-41.086696975273121</v>
          </cell>
        </row>
        <row r="201">
          <cell r="Z201">
            <v>206876.21768935499</v>
          </cell>
          <cell r="AI201">
            <v>-41.415126807756721</v>
          </cell>
        </row>
        <row r="202">
          <cell r="AI202">
            <v>-41.873548864724313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 Max load Thermal results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7">
          <cell r="D7" t="str">
            <v>Vin min @ 2MHz</v>
          </cell>
          <cell r="E7" t="str">
            <v>Vin min (loss of reg)</v>
          </cell>
        </row>
        <row r="8">
          <cell r="C8">
            <v>0.1</v>
          </cell>
          <cell r="D8">
            <v>3.7216666666666667</v>
          </cell>
          <cell r="E8">
            <v>3.4746891191709848</v>
          </cell>
        </row>
        <row r="9">
          <cell r="C9">
            <v>0.2</v>
          </cell>
          <cell r="D9">
            <v>3.7766666666666664</v>
          </cell>
          <cell r="E9">
            <v>3.5296891191709845</v>
          </cell>
        </row>
        <row r="10">
          <cell r="C10">
            <v>0.5</v>
          </cell>
          <cell r="D10">
            <v>3.9416666666666664</v>
          </cell>
          <cell r="E10">
            <v>3.6946891191709845</v>
          </cell>
        </row>
        <row r="11">
          <cell r="C11">
            <v>0.8</v>
          </cell>
          <cell r="D11">
            <v>4.1066666666666665</v>
          </cell>
          <cell r="E11">
            <v>3.8596891191709846</v>
          </cell>
        </row>
        <row r="12">
          <cell r="C12">
            <v>1</v>
          </cell>
          <cell r="D12">
            <v>4.2166666666666668</v>
          </cell>
          <cell r="E12">
            <v>3.9696891191709849</v>
          </cell>
        </row>
        <row r="13">
          <cell r="C13">
            <v>1.2</v>
          </cell>
          <cell r="D13">
            <v>4.3266666666666662</v>
          </cell>
          <cell r="E13">
            <v>4.0796891191709843</v>
          </cell>
        </row>
        <row r="14">
          <cell r="C14">
            <v>1.5</v>
          </cell>
          <cell r="D14">
            <v>4.4916666666666663</v>
          </cell>
          <cell r="E14">
            <v>4.2446891191709843</v>
          </cell>
        </row>
        <row r="15">
          <cell r="C15">
            <v>1.8</v>
          </cell>
          <cell r="D15">
            <v>4.6566666666666663</v>
          </cell>
          <cell r="E15">
            <v>4.4096891191709844</v>
          </cell>
        </row>
        <row r="16">
          <cell r="C16">
            <v>2</v>
          </cell>
          <cell r="D16">
            <v>4.7666666666666666</v>
          </cell>
          <cell r="E16">
            <v>4.5196891191709847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214"/>
  <sheetViews>
    <sheetView topLeftCell="A28" zoomScaleNormal="100" workbookViewId="0">
      <selection activeCell="B41" sqref="B41"/>
    </sheetView>
  </sheetViews>
  <sheetFormatPr defaultRowHeight="15"/>
  <cols>
    <col min="1" max="1" width="46.28515625" style="12" customWidth="1"/>
    <col min="2" max="2" width="22.42578125" customWidth="1"/>
    <col min="3" max="3" width="9.140625" style="12"/>
    <col min="4" max="4" width="18.42578125" style="5" customWidth="1"/>
    <col min="5" max="5" width="6.28515625" style="12" customWidth="1"/>
    <col min="6" max="6" width="9.140625" style="12" hidden="1" customWidth="1"/>
    <col min="7" max="7" width="13.85546875" style="12" hidden="1" customWidth="1"/>
    <col min="8" max="8" width="9.140625" style="12"/>
    <col min="9" max="9" width="9.140625" style="12" customWidth="1"/>
    <col min="10" max="11" width="12.28515625" style="12" bestFit="1" customWidth="1"/>
    <col min="12" max="12" width="12.28515625" style="12" customWidth="1"/>
    <col min="13" max="16" width="9.140625" style="12"/>
    <col min="17" max="17" width="8.7109375" style="12" customWidth="1"/>
    <col min="18" max="18" width="30.7109375" style="24" customWidth="1"/>
    <col min="19" max="23" width="30.7109375" style="24" hidden="1" customWidth="1"/>
    <col min="24" max="24" width="25.7109375" style="24" customWidth="1"/>
    <col min="25" max="46" width="0.140625" style="24" customWidth="1"/>
    <col min="47" max="47" width="25.7109375" style="12" customWidth="1"/>
    <col min="48" max="48" width="8.7109375" style="12" customWidth="1"/>
    <col min="49" max="71" width="9.140625" style="12"/>
  </cols>
  <sheetData>
    <row r="1" spans="1:71" s="1" customFormat="1">
      <c r="A1" s="11" t="s">
        <v>0</v>
      </c>
      <c r="B1" s="3" t="s">
        <v>1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24"/>
      <c r="S1" s="24" t="s">
        <v>30</v>
      </c>
      <c r="T1" s="24">
        <f>B17</f>
        <v>0.30451612903225805</v>
      </c>
      <c r="U1" s="24"/>
      <c r="V1" s="24"/>
      <c r="W1" s="24"/>
      <c r="X1" s="24"/>
      <c r="Y1" s="24"/>
      <c r="Z1" s="24" t="s">
        <v>31</v>
      </c>
      <c r="AA1" s="24" t="s">
        <v>32</v>
      </c>
      <c r="AB1" s="24" t="s">
        <v>33</v>
      </c>
      <c r="AC1" s="24" t="s">
        <v>34</v>
      </c>
      <c r="AD1" s="24" t="s">
        <v>35</v>
      </c>
      <c r="AE1" s="24" t="s">
        <v>36</v>
      </c>
      <c r="AF1" s="24" t="s">
        <v>37</v>
      </c>
      <c r="AG1" s="24" t="s">
        <v>38</v>
      </c>
      <c r="AH1" s="24" t="s">
        <v>39</v>
      </c>
      <c r="AI1" s="25" t="s">
        <v>40</v>
      </c>
      <c r="AJ1" s="25" t="s">
        <v>41</v>
      </c>
      <c r="AK1" s="25" t="s">
        <v>42</v>
      </c>
      <c r="AL1" s="25" t="s">
        <v>43</v>
      </c>
      <c r="AM1" s="25" t="s">
        <v>44</v>
      </c>
      <c r="AN1" s="25" t="s">
        <v>45</v>
      </c>
      <c r="AO1" s="25" t="s">
        <v>46</v>
      </c>
      <c r="AP1" s="24" t="s">
        <v>39</v>
      </c>
      <c r="AQ1" s="25" t="s">
        <v>40</v>
      </c>
      <c r="AR1" s="25" t="s">
        <v>41</v>
      </c>
      <c r="AS1" s="25" t="s">
        <v>41</v>
      </c>
      <c r="AT1" s="25" t="s">
        <v>40</v>
      </c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</row>
    <row r="2" spans="1:71" s="1" customFormat="1">
      <c r="A2" s="8" t="s">
        <v>2</v>
      </c>
      <c r="B2" s="4">
        <v>24</v>
      </c>
      <c r="C2" s="18" t="s">
        <v>100</v>
      </c>
      <c r="D2" s="18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24"/>
      <c r="S2" s="24" t="s">
        <v>49</v>
      </c>
      <c r="T2" s="24">
        <f>1-D_</f>
        <v>0.695483870967742</v>
      </c>
      <c r="U2" s="24"/>
      <c r="V2" s="24" t="s">
        <v>50</v>
      </c>
      <c r="W2" s="24">
        <f>G10</f>
        <v>6283185.307179587</v>
      </c>
      <c r="X2" s="24"/>
      <c r="Y2" s="24">
        <v>0</v>
      </c>
      <c r="Z2" s="24">
        <f>10^(LOG($G$6/$G$5,10)*Y2/200)</f>
        <v>1</v>
      </c>
      <c r="AA2" s="24" t="str">
        <f>IMPRODUCT(COMPLEX(0,1),2*PI()*Z2)</f>
        <v>6.28318530717959i</v>
      </c>
      <c r="AB2" s="24">
        <f>$B$23/$G$3</f>
        <v>7.8571428571428568</v>
      </c>
      <c r="AC2" s="32">
        <f>1/(1+D7*B23/(D24/1000000)*(G8*(1-B17)-0.5))</f>
        <v>0.87237848801830442</v>
      </c>
      <c r="AD2" s="24" t="str">
        <f>IMDIV(IMSUM(1,IMDIV(AA2,$G$12)),IMSUM(1,IMDIV(AA2,$G$14)))</f>
        <v>0.999999967440304-0.000180003766208619i</v>
      </c>
      <c r="AE2" s="24" t="str">
        <f>IMDIV(1,IMSUM(1,IMDIV(AA2,IMPRODUCT($G$10*$G$11)),IMDIV(IMPRODUCT(AA2,AA2),$G$10*$G$10)))</f>
        <v>0.999999999994145-2.61825969226994E-06i</v>
      </c>
      <c r="AF2" s="24" t="str">
        <f>IF(D_&lt;Dmax,IMPRODUCT(AB2,AC$2,AD2,AE2),0)</f>
        <v>6.85440217941026-0.00125176485310617i</v>
      </c>
      <c r="AG2" s="24">
        <f>IMABS(AF2)</f>
        <v>6.8544022937101792</v>
      </c>
      <c r="AH2" s="24">
        <f>IMARGUMENT(AF2)</f>
        <v>-1.8262202981764351E-4</v>
      </c>
      <c r="AI2" s="24">
        <f t="shared" ref="AI2:AI65" si="0">AH2/(PI())*180</f>
        <v>-1.0463471554663248E-2</v>
      </c>
      <c r="AJ2" s="24">
        <f>20*LOG(AG2,10)</f>
        <v>16.719391802901885</v>
      </c>
      <c r="AK2" s="26">
        <f>-0.8/B38*B13*B42</f>
        <v>-336.1702127659575</v>
      </c>
      <c r="AL2" s="24" t="str">
        <f>IMDIV(1,IMSUM(1,IMDIV(AA2,wp2e)))</f>
        <v>0.99932251293343-0.0260197632165417i</v>
      </c>
      <c r="AM2" s="24" t="str">
        <f>IMDIV(IMSUM(1,IMDIV(AA2,wz2e)),IMSUM(1,IMDIV(AA2,wp1e)))</f>
        <v>1.00000000028171+0.00014085714285658i</v>
      </c>
      <c r="AN2" s="24" t="str">
        <f>IMPRODUCT($AK$2,AL2,AM2)</f>
        <v>-335.943693976476+8.6997494437562i</v>
      </c>
      <c r="AO2" s="24">
        <f>IMABS(AN2)</f>
        <v>336.05632141494425</v>
      </c>
      <c r="AP2" s="24">
        <f>IMARGUMENT(AN2)</f>
        <v>3.1157019891065847</v>
      </c>
      <c r="AQ2" s="24">
        <f>AP2/(PI())*180</f>
        <v>178.51657419632289</v>
      </c>
      <c r="AR2" s="24">
        <f>20*LOG(AO2,10)</f>
        <v>50.528241382910757</v>
      </c>
      <c r="AS2" s="24">
        <f>AR2+AJ2</f>
        <v>67.247633185812646</v>
      </c>
      <c r="AT2" s="24">
        <f>AQ2+AI2</f>
        <v>178.50611072476823</v>
      </c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</row>
    <row r="3" spans="1:71" s="1" customFormat="1">
      <c r="A3" s="8" t="s">
        <v>3</v>
      </c>
      <c r="B3" s="4">
        <v>7</v>
      </c>
      <c r="C3" s="18" t="s">
        <v>100</v>
      </c>
      <c r="D3" s="18"/>
      <c r="E3" s="12"/>
      <c r="F3" s="27" t="s">
        <v>93</v>
      </c>
      <c r="G3" s="28">
        <v>0.21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24"/>
      <c r="S3" s="24" t="s">
        <v>52</v>
      </c>
      <c r="T3" s="24">
        <f>D7</f>
        <v>4.9999999999999998E-7</v>
      </c>
      <c r="U3" s="24" t="s">
        <v>32</v>
      </c>
      <c r="V3" s="24" t="s">
        <v>53</v>
      </c>
      <c r="W3" s="24">
        <f>G11</f>
        <v>0.38193308438712603</v>
      </c>
      <c r="X3" s="24"/>
      <c r="Y3" s="24">
        <v>1</v>
      </c>
      <c r="Z3" s="24">
        <f t="shared" ref="Z3:Z66" si="1">10^(LOG($G$6/$G$5,10)*Y3/200)</f>
        <v>1.0634378492473788</v>
      </c>
      <c r="AA3" s="24" t="str">
        <f>IMPRODUCT(COMPLEX(0,1),2*PI()*Z3)</f>
        <v>6.68177706948979i</v>
      </c>
      <c r="AB3" s="24">
        <f t="shared" ref="AB3:AB66" si="2">$B$23/$G$3</f>
        <v>7.8571428571428568</v>
      </c>
      <c r="AC3" s="24"/>
      <c r="AD3" s="24" t="str">
        <f t="shared" ref="AD3:AD66" si="3">IMDIV(IMSUM(1,IMDIV(AA3,$G$12)),IMSUM(1,IMDIV(AA3,$G$14)))</f>
        <v>0.999999963178237-0.000191422817173478i</v>
      </c>
      <c r="AE3" s="24" t="str">
        <f t="shared" ref="AE3:AE66" si="4">IMDIV(1,IMSUM(1,IMDIV(AA3,IMPRODUCT($G$10*$G$11)),IMDIV(IMPRODUCT(AA3,AA3),$G$10*$G$10)))</f>
        <v>0.999999999993378-2.78435645591688E-06i</v>
      </c>
      <c r="AF3" s="24" t="str">
        <f>IF(D_&lt;Dmax,IMPRODUCT(AB3,AC$2,AD3,AE3),0)</f>
        <v>6.85440214976821-0.00133117411744879i</v>
      </c>
      <c r="AG3" s="24">
        <f t="shared" ref="AG3:AG66" si="5">IMABS(AF3)</f>
        <v>6.8544022790299941</v>
      </c>
      <c r="AH3" s="24">
        <f>IMARGUMENT(AF3)</f>
        <v>-1.9420717833984897E-4</v>
      </c>
      <c r="AI3" s="24">
        <f t="shared" si="0"/>
        <v>-1.1127251670017844E-2</v>
      </c>
      <c r="AJ3" s="24">
        <f>20*LOG(AG3,10)</f>
        <v>16.719391784299173</v>
      </c>
      <c r="AK3" s="24"/>
      <c r="AL3" s="24" t="str">
        <f>IMDIV(1,IMSUM(1,IMDIV(AA3,wp2e)))</f>
        <v>0.999233897776618-0.0276679473536626i</v>
      </c>
      <c r="AM3" s="24" t="str">
        <f>IMDIV(IMSUM(1,IMDIV(AA3,wz2e)),IMSUM(1,IMDIV(AA3,wp1e)))</f>
        <v>1.00000000031859+0.000149792817050454i</v>
      </c>
      <c r="AN3" s="24" t="str">
        <f>IMPRODUCT($AK$2,AL3,AM3)</f>
        <v>-335.914065369466+9.25082244621672i</v>
      </c>
      <c r="AO3" s="24">
        <f t="shared" ref="AO3:AO66" si="6">IMABS(AN3)</f>
        <v>336.04142159706043</v>
      </c>
      <c r="AP3" s="24">
        <f t="shared" ref="AP3:AP66" si="7">IMARGUMENT(AN3)</f>
        <v>3.11406035940171</v>
      </c>
      <c r="AQ3" s="24">
        <f t="shared" ref="AQ3:AQ66" si="8">AP3/(PI())*180</f>
        <v>178.42251574271026</v>
      </c>
      <c r="AR3" s="24">
        <f t="shared" ref="AR3:AR66" si="9">20*LOG(AO3,10)</f>
        <v>50.527856265790128</v>
      </c>
      <c r="AS3" s="24">
        <f>AR3+AJ3</f>
        <v>67.247248050089297</v>
      </c>
      <c r="AT3" s="24">
        <f>AQ3+AI3</f>
        <v>178.41138849104024</v>
      </c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</row>
    <row r="4" spans="1:71" s="1" customFormat="1">
      <c r="A4" s="8" t="s">
        <v>83</v>
      </c>
      <c r="B4" s="4">
        <f>(B2+B3)/2</f>
        <v>15.5</v>
      </c>
      <c r="C4" s="18" t="s">
        <v>100</v>
      </c>
      <c r="D4" s="43"/>
      <c r="E4" s="24"/>
      <c r="F4" s="26" t="s">
        <v>58</v>
      </c>
      <c r="G4" s="29">
        <f>(B4-B5)/D24*G3*1000000</f>
        <v>545106.38297872338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24"/>
      <c r="S4" s="24"/>
      <c r="T4" s="24"/>
      <c r="U4" s="24"/>
      <c r="V4" s="24"/>
      <c r="W4" s="24"/>
      <c r="X4" s="24"/>
      <c r="Y4" s="24">
        <v>2</v>
      </c>
      <c r="Z4" s="24">
        <f t="shared" si="1"/>
        <v>1.1309000592118907</v>
      </c>
      <c r="AA4" s="24" t="str">
        <f t="shared" ref="AA4:AA67" si="10">IMPRODUCT(COMPLEX(0,1),2*PI()*Z4)</f>
        <v>7.10565463592868i</v>
      </c>
      <c r="AB4" s="24">
        <f t="shared" si="2"/>
        <v>7.8571428571428568</v>
      </c>
      <c r="AC4" s="24"/>
      <c r="AD4" s="24" t="str">
        <f t="shared" si="3"/>
        <v>0.999999958358267-0.00020356626800586i</v>
      </c>
      <c r="AE4" s="24" t="str">
        <f t="shared" si="4"/>
        <v>0.999999999992512-2.96099004101617E-06i</v>
      </c>
      <c r="AF4" s="24" t="str">
        <f t="shared" ref="AF4:AF10" si="11">IF(D_&lt;Dmax,IMPRODUCT(AB4,AC$2,AD4,AE4),0)</f>
        <v>6.85440211624604-0.00141562093357618i</v>
      </c>
      <c r="AG4" s="24">
        <f t="shared" si="5"/>
        <v>6.8544022624281995</v>
      </c>
      <c r="AH4" s="24">
        <f t="shared" ref="AH4:AH35" si="12">IMARGUMENT(AF4)</f>
        <v>-2.0652726371186514E-4</v>
      </c>
      <c r="AI4" s="24">
        <f t="shared" si="0"/>
        <v>-1.1833140565075234E-2</v>
      </c>
      <c r="AJ4" s="24">
        <f t="shared" ref="AJ4:AJ35" si="13">20*LOG(AG4,10)</f>
        <v>16.719391763261399</v>
      </c>
      <c r="AK4" s="24"/>
      <c r="AL4" s="24" t="str">
        <f t="shared" ref="AL4:AL35" si="14">IMDIV(1,IMSUM(1,IMDIV(AA4,wp2e)))</f>
        <v>0.999133701825045-0.0294201920868529i</v>
      </c>
      <c r="AM4" s="24" t="str">
        <f t="shared" ref="AM4:AM35" si="15">IMDIV(IMSUM(1,IMDIV(AA4,wz2e)),IMSUM(1,IMDIV(AA4,wp1e)))</f>
        <v>1.00000000036029+0.000159295351196745i</v>
      </c>
      <c r="AN4" s="24" t="str">
        <f t="shared" ref="AN4:AN35" si="16">IMPRODUCT($AK$2,AL4,AM4)</f>
        <v>-335.880564706823+9.83668827548387i</v>
      </c>
      <c r="AO4" s="24">
        <f t="shared" si="6"/>
        <v>336.02457377995938</v>
      </c>
      <c r="AP4" s="24">
        <f t="shared" si="7"/>
        <v>3.1123147539626825</v>
      </c>
      <c r="AQ4" s="24">
        <f t="shared" si="8"/>
        <v>178.32249991835891</v>
      </c>
      <c r="AR4" s="24">
        <f t="shared" si="9"/>
        <v>50.527420777962966</v>
      </c>
      <c r="AS4" s="24">
        <f t="shared" ref="AS4:AS35" si="17">AR4+AJ4</f>
        <v>67.246812541224358</v>
      </c>
      <c r="AT4" s="24">
        <f t="shared" ref="AT4:AT35" si="18">AQ4+AI4</f>
        <v>178.31066677779384</v>
      </c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</row>
    <row r="5" spans="1:71" s="1" customFormat="1">
      <c r="A5" s="8" t="s">
        <v>4</v>
      </c>
      <c r="B5" s="4">
        <v>3.3</v>
      </c>
      <c r="C5" s="18" t="s">
        <v>100</v>
      </c>
      <c r="D5" s="47"/>
      <c r="E5" s="24"/>
      <c r="F5" s="13" t="s">
        <v>48</v>
      </c>
      <c r="G5" s="7">
        <v>1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24"/>
      <c r="S5" s="24" t="s">
        <v>54</v>
      </c>
      <c r="T5" s="24"/>
      <c r="U5" s="24"/>
      <c r="V5" s="24" t="s">
        <v>55</v>
      </c>
      <c r="W5" s="24">
        <f>G12</f>
        <v>7142857.1428571427</v>
      </c>
      <c r="X5" s="24"/>
      <c r="Y5" s="24">
        <v>3</v>
      </c>
      <c r="Z5" s="24">
        <f t="shared" si="1"/>
        <v>1.2026419266820265</v>
      </c>
      <c r="AA5" s="24" t="str">
        <f t="shared" si="10"/>
        <v>7.55642208352666i</v>
      </c>
      <c r="AB5" s="24">
        <f t="shared" si="2"/>
        <v>7.8571428571428568</v>
      </c>
      <c r="AC5" s="24"/>
      <c r="AD5" s="24" t="str">
        <f t="shared" si="3"/>
        <v>0.999999952907362-0.000216480073041688i</v>
      </c>
      <c r="AE5" s="24" t="str">
        <f t="shared" si="4"/>
        <v>0.999999999991531-3.14882888085859E-06i</v>
      </c>
      <c r="AF5" s="24" t="str">
        <f t="shared" si="11"/>
        <v>6.8544020783358-0.00150542487270489i</v>
      </c>
      <c r="AG5" s="24">
        <f t="shared" si="5"/>
        <v>6.8544022436532117</v>
      </c>
      <c r="AH5" s="24">
        <f t="shared" si="12"/>
        <v>-2.1962890873549997E-4</v>
      </c>
      <c r="AI5" s="24">
        <f t="shared" si="0"/>
        <v>-1.2583809529608086E-2</v>
      </c>
      <c r="AJ5" s="24">
        <f t="shared" si="13"/>
        <v>16.719391739469764</v>
      </c>
      <c r="AK5" s="24"/>
      <c r="AL5" s="24" t="str">
        <f t="shared" si="14"/>
        <v>0.999020414426165-0.0312829983527496i</v>
      </c>
      <c r="AM5" s="24" t="str">
        <f t="shared" si="15"/>
        <v>1.00000000040746+0.00016940070567166i</v>
      </c>
      <c r="AN5" s="24" t="str">
        <f t="shared" si="16"/>
        <v>-335.842686899671+10.4595205301389i</v>
      </c>
      <c r="AO5" s="24">
        <f t="shared" si="6"/>
        <v>336.00552363571467</v>
      </c>
      <c r="AP5" s="24">
        <f t="shared" si="7"/>
        <v>3.1104586103349567</v>
      </c>
      <c r="AQ5" s="24">
        <f t="shared" si="8"/>
        <v>178.21615072232012</v>
      </c>
      <c r="AR5" s="24">
        <f t="shared" si="9"/>
        <v>50.526928337367892</v>
      </c>
      <c r="AS5" s="24">
        <f t="shared" si="17"/>
        <v>67.246320076837662</v>
      </c>
      <c r="AT5" s="24">
        <f t="shared" si="18"/>
        <v>178.20356691279051</v>
      </c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</row>
    <row r="6" spans="1:71" s="1" customFormat="1">
      <c r="A6" s="8" t="s">
        <v>5</v>
      </c>
      <c r="B6" s="4">
        <v>2</v>
      </c>
      <c r="C6" s="18" t="s">
        <v>101</v>
      </c>
      <c r="D6" s="48" t="s">
        <v>7</v>
      </c>
      <c r="E6" s="24"/>
      <c r="F6" s="13" t="s">
        <v>51</v>
      </c>
      <c r="G6" s="7">
        <v>220000</v>
      </c>
      <c r="H6" s="12"/>
      <c r="I6" s="12"/>
      <c r="J6" s="12"/>
      <c r="K6" s="12"/>
      <c r="L6" s="12"/>
      <c r="M6" s="12"/>
      <c r="N6" s="12"/>
      <c r="O6" s="12"/>
      <c r="P6" s="12"/>
      <c r="Q6" s="12"/>
      <c r="R6" s="24"/>
      <c r="S6" s="24" t="s">
        <v>57</v>
      </c>
      <c r="T6" s="24">
        <f>D_</f>
        <v>0.30451612903225805</v>
      </c>
      <c r="U6" s="24"/>
      <c r="V6" s="24"/>
      <c r="W6" s="24"/>
      <c r="X6" s="24"/>
      <c r="Y6" s="24">
        <v>4</v>
      </c>
      <c r="Z6" s="24">
        <f t="shared" si="1"/>
        <v>1.278934943925458</v>
      </c>
      <c r="AA6" s="24" t="str">
        <f t="shared" si="10"/>
        <v>8.03578524851099i</v>
      </c>
      <c r="AB6" s="24">
        <f t="shared" si="2"/>
        <v>7.8571428571428568</v>
      </c>
      <c r="AC6" s="24"/>
      <c r="AD6" s="24" t="str">
        <f t="shared" si="3"/>
        <v>0.999999946742933-0.0002302131018543i</v>
      </c>
      <c r="AE6" s="24" t="str">
        <f t="shared" si="4"/>
        <v>0.999999999990423-3.34858381270521E-06i</v>
      </c>
      <c r="AF6" s="24" t="str">
        <f t="shared" si="11"/>
        <v>6.85440203546312-0.0016009257789147i</v>
      </c>
      <c r="AG6" s="24">
        <f t="shared" si="5"/>
        <v>6.8544022224205881</v>
      </c>
      <c r="AH6" s="24">
        <f t="shared" si="12"/>
        <v>-2.3356169386054952E-4</v>
      </c>
      <c r="AI6" s="24">
        <f t="shared" si="0"/>
        <v>-1.338209931413608E-2</v>
      </c>
      <c r="AJ6" s="24">
        <f t="shared" si="13"/>
        <v>16.719391712563809</v>
      </c>
      <c r="AK6" s="24"/>
      <c r="AL6" s="24" t="str">
        <f t="shared" si="14"/>
        <v>0.998892328650818-0.0332632592113878i</v>
      </c>
      <c r="AM6" s="24" t="str">
        <f t="shared" si="15"/>
        <v>1.00000000046079+0.000180147122100321i</v>
      </c>
      <c r="AN6" s="24" t="str">
        <f t="shared" si="16"/>
        <v>-335.799861233744+11.121623915852i</v>
      </c>
      <c r="AO6" s="24">
        <f t="shared" si="6"/>
        <v>335.98398373006921</v>
      </c>
      <c r="AP6" s="24">
        <f t="shared" si="7"/>
        <v>3.1084849565386437</v>
      </c>
      <c r="AQ6" s="24">
        <f t="shared" si="8"/>
        <v>178.10306868957142</v>
      </c>
      <c r="AR6" s="24">
        <f t="shared" si="9"/>
        <v>50.526371503544553</v>
      </c>
      <c r="AS6" s="24">
        <f t="shared" si="17"/>
        <v>67.245763216108358</v>
      </c>
      <c r="AT6" s="24">
        <f t="shared" si="18"/>
        <v>178.08968659025729</v>
      </c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</row>
    <row r="7" spans="1:71" s="1" customFormat="1">
      <c r="A7" s="8" t="s">
        <v>6</v>
      </c>
      <c r="B7" s="40">
        <f>2000000/1000000</f>
        <v>2</v>
      </c>
      <c r="C7" s="13" t="s">
        <v>107</v>
      </c>
      <c r="D7" s="49">
        <f>1/B7/1000000</f>
        <v>4.9999999999999998E-7</v>
      </c>
      <c r="E7" s="48" t="s">
        <v>104</v>
      </c>
      <c r="F7" s="27" t="s">
        <v>63</v>
      </c>
      <c r="G7" s="10">
        <v>500000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24"/>
      <c r="S7" s="24" t="s">
        <v>58</v>
      </c>
      <c r="T7" s="30">
        <f>G4</f>
        <v>545106.38297872338</v>
      </c>
      <c r="U7" s="24" t="s">
        <v>59</v>
      </c>
      <c r="V7" s="24" t="s">
        <v>60</v>
      </c>
      <c r="W7" s="24">
        <f>G14</f>
        <v>34736.104476701032</v>
      </c>
      <c r="X7" s="24"/>
      <c r="Y7" s="24">
        <v>5</v>
      </c>
      <c r="Z7" s="24">
        <f t="shared" si="1"/>
        <v>1.3600678260954062</v>
      </c>
      <c r="AA7" s="24" t="str">
        <f t="shared" si="10"/>
        <v>8.54555818169034i</v>
      </c>
      <c r="AB7" s="24">
        <f t="shared" si="2"/>
        <v>7.8571428571428568</v>
      </c>
      <c r="AC7" s="24"/>
      <c r="AD7" s="24" t="str">
        <f t="shared" si="3"/>
        <v>0.99999993977158-0.000244817324189457i</v>
      </c>
      <c r="AE7" s="24" t="str">
        <f t="shared" si="4"/>
        <v>0.999999999989169-3.56101076780411E-06i</v>
      </c>
      <c r="AF7" s="24" t="str">
        <f t="shared" si="11"/>
        <v>6.85440198697839-0.00170248505520581i</v>
      </c>
      <c r="AG7" s="24">
        <f t="shared" si="5"/>
        <v>6.854402198408601</v>
      </c>
      <c r="AH7" s="24">
        <f t="shared" si="12"/>
        <v>-2.4837834481116009E-4</v>
      </c>
      <c r="AI7" s="24">
        <f t="shared" si="0"/>
        <v>-1.4231030880124564E-2</v>
      </c>
      <c r="AJ7" s="24">
        <f t="shared" si="13"/>
        <v>16.71939168213585</v>
      </c>
      <c r="AK7" s="24"/>
      <c r="AL7" s="24" t="str">
        <f t="shared" si="14"/>
        <v>0.998747516008594-0.0353682806375615i</v>
      </c>
      <c r="AM7" s="24" t="str">
        <f t="shared" si="15"/>
        <v>1.00000000052111+0.000191575268074307i</v>
      </c>
      <c r="AN7" s="24" t="str">
        <f t="shared" si="16"/>
        <v>-335.751442915467+11.8254411970088i</v>
      </c>
      <c r="AO7" s="24">
        <f t="shared" si="6"/>
        <v>335.9596292403628</v>
      </c>
      <c r="AP7" s="24">
        <f t="shared" si="7"/>
        <v>3.1063863864583685</v>
      </c>
      <c r="AQ7" s="24">
        <f t="shared" si="8"/>
        <v>177.98282948095923</v>
      </c>
      <c r="AR7" s="24">
        <f t="shared" si="9"/>
        <v>50.525741866158938</v>
      </c>
      <c r="AS7" s="24">
        <f t="shared" si="17"/>
        <v>67.245133548294788</v>
      </c>
      <c r="AT7" s="24">
        <f t="shared" si="18"/>
        <v>177.9685984500791</v>
      </c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</row>
    <row r="8" spans="1:71" s="1" customFormat="1">
      <c r="A8" s="8" t="s">
        <v>105</v>
      </c>
      <c r="B8" s="4">
        <v>0.1</v>
      </c>
      <c r="C8" s="18" t="s">
        <v>99</v>
      </c>
      <c r="D8" s="47"/>
      <c r="E8" s="24"/>
      <c r="F8" s="44" t="s">
        <v>61</v>
      </c>
      <c r="G8" s="43">
        <f>1+G7/G4</f>
        <v>1.9172521467603434</v>
      </c>
      <c r="H8" s="24"/>
      <c r="I8" s="24"/>
      <c r="J8" s="24"/>
      <c r="K8" s="12"/>
      <c r="L8" s="12"/>
      <c r="M8" s="12"/>
      <c r="N8" s="12"/>
      <c r="O8" s="12"/>
      <c r="P8" s="12"/>
      <c r="Q8" s="12"/>
      <c r="R8" s="24"/>
      <c r="S8" s="24" t="s">
        <v>61</v>
      </c>
      <c r="T8" s="24">
        <f>1+(T$10/T$7)</f>
        <v>1.093559718969555</v>
      </c>
      <c r="U8" s="24"/>
      <c r="V8" s="24"/>
      <c r="W8" s="24"/>
      <c r="X8" s="24"/>
      <c r="Y8" s="24">
        <v>6</v>
      </c>
      <c r="Z8" s="24">
        <f t="shared" si="1"/>
        <v>1.4463476038134566</v>
      </c>
      <c r="AA8" s="24" t="str">
        <f t="shared" si="10"/>
        <v>9.08767001335511i</v>
      </c>
      <c r="AB8" s="24">
        <f t="shared" si="2"/>
        <v>7.8571428571428568</v>
      </c>
      <c r="AC8" s="24"/>
      <c r="AD8" s="24" t="str">
        <f t="shared" si="3"/>
        <v>0.999999931887677-0.000260348006631944i</v>
      </c>
      <c r="AE8" s="24" t="str">
        <f t="shared" si="4"/>
        <v>0.999999999987751-3.78691363205591E-06i</v>
      </c>
      <c r="AF8" s="24" t="str">
        <f t="shared" si="11"/>
        <v>6.85440193214701-0.00181048703113885i</v>
      </c>
      <c r="AG8" s="24">
        <f t="shared" si="5"/>
        <v>6.8544021712534464</v>
      </c>
      <c r="AH8" s="24">
        <f t="shared" si="12"/>
        <v>-2.6413493211471307E-4</v>
      </c>
      <c r="AI8" s="24">
        <f t="shared" si="0"/>
        <v>-1.5133816832147567E-2</v>
      </c>
      <c r="AJ8" s="24">
        <f t="shared" si="13"/>
        <v>16.719391647724873</v>
      </c>
      <c r="AK8" s="24"/>
      <c r="AL8" s="24" t="str">
        <f t="shared" si="14"/>
        <v>0.998583797966604-0.0376058028128168i</v>
      </c>
      <c r="AM8" s="24" t="str">
        <f t="shared" si="15"/>
        <v>1.00000000058932+0.000203728391049733i</v>
      </c>
      <c r="AN8" s="24" t="str">
        <f t="shared" si="16"/>
        <v>-335.696703549185+12.5735603157224i</v>
      </c>
      <c r="AO8" s="24">
        <f t="shared" si="6"/>
        <v>335.9320931271713</v>
      </c>
      <c r="AP8" s="24">
        <f t="shared" si="7"/>
        <v>3.1041550339475177</v>
      </c>
      <c r="AQ8" s="24">
        <f t="shared" si="8"/>
        <v>177.85498239948154</v>
      </c>
      <c r="AR8" s="24">
        <f t="shared" si="9"/>
        <v>50.525029919181733</v>
      </c>
      <c r="AS8" s="24">
        <f t="shared" si="17"/>
        <v>67.24442156690661</v>
      </c>
      <c r="AT8" s="24">
        <f t="shared" si="18"/>
        <v>177.83984858264938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</row>
    <row r="9" spans="1:71" s="1" customFormat="1">
      <c r="A9" s="8" t="s">
        <v>85</v>
      </c>
      <c r="B9" s="4">
        <v>30</v>
      </c>
      <c r="C9" s="19" t="s">
        <v>99</v>
      </c>
      <c r="D9" s="43"/>
      <c r="E9" s="24"/>
      <c r="F9" s="8"/>
      <c r="G9" s="44"/>
      <c r="H9" s="24"/>
      <c r="I9" s="24"/>
      <c r="J9" s="24"/>
      <c r="K9" s="12"/>
      <c r="L9" s="12"/>
      <c r="M9" s="12"/>
      <c r="N9" s="12"/>
      <c r="O9" s="12"/>
      <c r="P9" s="12"/>
      <c r="Q9" s="12"/>
      <c r="R9" s="24"/>
      <c r="S9" s="24" t="s">
        <v>62</v>
      </c>
      <c r="T9" s="24">
        <f>B23</f>
        <v>1.65</v>
      </c>
      <c r="U9" s="25" t="s">
        <v>56</v>
      </c>
      <c r="V9" s="24"/>
      <c r="W9" s="24"/>
      <c r="X9" s="24"/>
      <c r="Y9" s="24">
        <v>7</v>
      </c>
      <c r="Z9" s="24">
        <f t="shared" si="1"/>
        <v>1.5381007850634825</v>
      </c>
      <c r="AA9" s="24" t="str">
        <f t="shared" si="10"/>
        <v>9.66417225367226i</v>
      </c>
      <c r="AB9" s="24">
        <f t="shared" si="2"/>
        <v>7.8571428571428568</v>
      </c>
      <c r="AC9" s="24"/>
      <c r="AD9" s="24" t="str">
        <f t="shared" si="3"/>
        <v>0.99999992297177-0.000276863921747962i</v>
      </c>
      <c r="AE9" s="24" t="str">
        <f t="shared" si="4"/>
        <v>0.999999999986148-4.02714728815376E-06i</v>
      </c>
      <c r="AF9" s="24" t="str">
        <f t="shared" si="11"/>
        <v>6.85440187013821-0.00192534041723266i</v>
      </c>
      <c r="AG9" s="24">
        <f t="shared" si="5"/>
        <v>6.854402140543689</v>
      </c>
      <c r="AH9" s="24">
        <f t="shared" si="12"/>
        <v>-2.808910832882801E-4</v>
      </c>
      <c r="AI9" s="24">
        <f t="shared" si="0"/>
        <v>-1.6093873575276141E-2</v>
      </c>
      <c r="AJ9" s="24">
        <f t="shared" si="13"/>
        <v>16.719391608809506</v>
      </c>
      <c r="AK9" s="24"/>
      <c r="AL9" s="24" t="str">
        <f t="shared" si="14"/>
        <v>0.998398713884486-0.0399840217873378i</v>
      </c>
      <c r="AM9" s="24" t="str">
        <f t="shared" si="15"/>
        <v>1.00000000066647+0.00021665248200832i</v>
      </c>
      <c r="AN9" s="24" t="str">
        <f t="shared" si="16"/>
        <v>-335.634820416207+13.3687216345214i</v>
      </c>
      <c r="AO9" s="24">
        <f t="shared" si="6"/>
        <v>335.9009606922267</v>
      </c>
      <c r="AP9" s="24">
        <f t="shared" si="7"/>
        <v>3.101782545620503</v>
      </c>
      <c r="AQ9" s="24">
        <f t="shared" si="8"/>
        <v>177.71904883139956</v>
      </c>
      <c r="AR9" s="24">
        <f t="shared" si="9"/>
        <v>50.524224918913433</v>
      </c>
      <c r="AS9" s="24">
        <f t="shared" si="17"/>
        <v>67.243616527722935</v>
      </c>
      <c r="AT9" s="24">
        <f t="shared" si="18"/>
        <v>177.70295495782429</v>
      </c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</row>
    <row r="10" spans="1:71" s="1" customFormat="1">
      <c r="A10" s="8" t="s">
        <v>9</v>
      </c>
      <c r="B10" s="40">
        <v>0.65</v>
      </c>
      <c r="C10" s="37" t="s">
        <v>56</v>
      </c>
      <c r="D10" s="45"/>
      <c r="E10" s="24"/>
      <c r="F10" s="26" t="s">
        <v>50</v>
      </c>
      <c r="G10" s="24">
        <f>PI()/D7</f>
        <v>6283185.307179587</v>
      </c>
      <c r="H10" s="24"/>
      <c r="I10" s="24"/>
      <c r="J10" s="24"/>
      <c r="K10" s="12"/>
      <c r="L10" s="12"/>
      <c r="M10" s="12"/>
      <c r="N10" s="12"/>
      <c r="O10" s="12"/>
      <c r="P10" s="12"/>
      <c r="Q10" s="12"/>
      <c r="R10" s="24"/>
      <c r="S10" s="24" t="s">
        <v>63</v>
      </c>
      <c r="T10" s="24">
        <v>51000</v>
      </c>
      <c r="U10" s="24" t="s">
        <v>59</v>
      </c>
      <c r="V10" s="24"/>
      <c r="W10" s="24"/>
      <c r="X10" s="24"/>
      <c r="Y10" s="24">
        <v>8</v>
      </c>
      <c r="Z10" s="24">
        <f t="shared" si="1"/>
        <v>1.6356745907936145</v>
      </c>
      <c r="AA10" s="24" t="str">
        <f t="shared" si="10"/>
        <v>10.2772465562014i</v>
      </c>
      <c r="AB10" s="24">
        <f t="shared" si="2"/>
        <v>7.8571428571428568</v>
      </c>
      <c r="AC10" s="24"/>
      <c r="AD10" s="24" t="str">
        <f t="shared" si="3"/>
        <v>0.999999912888771-0.000294427570494625i</v>
      </c>
      <c r="AE10" s="24" t="str">
        <f t="shared" si="4"/>
        <v>0.999999999984334-0.0000042826208507102i</v>
      </c>
      <c r="AF10" s="24" t="str">
        <f t="shared" si="11"/>
        <v>6.85440180001244-0.00204747985162305i</v>
      </c>
      <c r="AG10" s="24">
        <f t="shared" si="5"/>
        <v>6.8544021058140094</v>
      </c>
      <c r="AH10" s="24">
        <f t="shared" si="12"/>
        <v>-2.9871020848558469E-4</v>
      </c>
      <c r="AI10" s="24">
        <f t="shared" si="0"/>
        <v>-1.7114834243696912E-2</v>
      </c>
      <c r="AJ10" s="24">
        <f t="shared" si="13"/>
        <v>16.719391564800102</v>
      </c>
      <c r="AK10" s="24"/>
      <c r="AL10" s="24" t="str">
        <f t="shared" si="14"/>
        <v>0.998189484936401-0.0425116113409398i</v>
      </c>
      <c r="AM10" s="24" t="str">
        <f t="shared" si="15"/>
        <v>1.00000000075371+0.000230396449500749i</v>
      </c>
      <c r="AN10" s="24" t="str">
        <f t="shared" si="16"/>
        <v>-335.564864412051+14.213825245609i</v>
      </c>
      <c r="AO10" s="24">
        <f t="shared" si="6"/>
        <v>335.86576344723034</v>
      </c>
      <c r="AP10" s="24">
        <f t="shared" si="7"/>
        <v>3.0992600523159397</v>
      </c>
      <c r="AQ10" s="24">
        <f t="shared" si="8"/>
        <v>177.57452061119807</v>
      </c>
      <c r="AR10" s="24">
        <f t="shared" si="9"/>
        <v>50.523314723826672</v>
      </c>
      <c r="AS10" s="24">
        <f t="shared" si="17"/>
        <v>67.242706288626778</v>
      </c>
      <c r="AT10" s="24">
        <f t="shared" si="18"/>
        <v>177.55740577695437</v>
      </c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</row>
    <row r="11" spans="1:71" s="1" customFormat="1">
      <c r="A11" s="8" t="s">
        <v>10</v>
      </c>
      <c r="B11" s="40" t="s">
        <v>82</v>
      </c>
      <c r="C11" s="37" t="s">
        <v>56</v>
      </c>
      <c r="D11" s="45"/>
      <c r="E11" s="24"/>
      <c r="F11" s="26" t="s">
        <v>53</v>
      </c>
      <c r="G11" s="24">
        <f>1/(PI()*(G8*(1-B17)-0.5))</f>
        <v>0.38193308438712603</v>
      </c>
      <c r="H11" s="24"/>
      <c r="I11" s="24"/>
      <c r="J11" s="24"/>
      <c r="K11" s="12"/>
      <c r="L11" s="12"/>
      <c r="M11" s="12"/>
      <c r="N11" s="12"/>
      <c r="O11" s="12"/>
      <c r="P11" s="12"/>
      <c r="Q11" s="12"/>
      <c r="R11" s="24"/>
      <c r="S11" s="24" t="s">
        <v>64</v>
      </c>
      <c r="T11" s="24">
        <v>1</v>
      </c>
      <c r="U11" s="24"/>
      <c r="V11" s="24"/>
      <c r="W11" s="24"/>
      <c r="X11" s="24"/>
      <c r="Y11" s="24">
        <v>9</v>
      </c>
      <c r="Z11" s="24">
        <f t="shared" si="1"/>
        <v>1.7394382689021479</v>
      </c>
      <c r="AA11" s="24" t="str">
        <f t="shared" si="10"/>
        <v>10.9292129739119i</v>
      </c>
      <c r="AB11" s="24">
        <f t="shared" si="2"/>
        <v>7.8571428571428568</v>
      </c>
      <c r="AC11" s="24"/>
      <c r="AD11" s="24" t="str">
        <f t="shared" si="3"/>
        <v>0.999999901485908-0.000313105418738191i</v>
      </c>
      <c r="AE11" s="24" t="str">
        <f t="shared" si="4"/>
        <v>0.999999999982284-4.55430110661352E-06i</v>
      </c>
      <c r="AF11" s="24" t="str">
        <f>IMPRODUCT(AB11,AC$2,AD11,AE11)</f>
        <v>6.85440172070723-0.0021773675448351i</v>
      </c>
      <c r="AG11" s="24">
        <f t="shared" si="5"/>
        <v>6.8544020665382384</v>
      </c>
      <c r="AH11" s="24">
        <f t="shared" si="12"/>
        <v>-3.1765974045838626E-4</v>
      </c>
      <c r="AI11" s="24">
        <f t="shared" si="0"/>
        <v>-1.8200562449486653E-2</v>
      </c>
      <c r="AJ11" s="24">
        <f t="shared" si="13"/>
        <v>16.719391515029894</v>
      </c>
      <c r="AK11" s="24"/>
      <c r="AL11" s="24" t="str">
        <f t="shared" si="14"/>
        <v>0.997952973545537-0.0451977448238065i</v>
      </c>
      <c r="AM11" s="24" t="str">
        <f t="shared" si="15"/>
        <v>1.00000000085237+0.000245012304730966i</v>
      </c>
      <c r="AN11" s="24" t="str">
        <f t="shared" si="16"/>
        <v>-335.485786483334+15.1119382733504i</v>
      </c>
      <c r="AO11" s="24">
        <f t="shared" si="6"/>
        <v>335.82597220989129</v>
      </c>
      <c r="AP11" s="24">
        <f t="shared" si="7"/>
        <v>3.0965781392256186</v>
      </c>
      <c r="AQ11" s="24">
        <f t="shared" si="8"/>
        <v>177.42085831010178</v>
      </c>
      <c r="AR11" s="24">
        <f t="shared" si="9"/>
        <v>50.522285613959319</v>
      </c>
      <c r="AS11" s="24">
        <f t="shared" si="17"/>
        <v>67.24167712898921</v>
      </c>
      <c r="AT11" s="24">
        <f t="shared" si="18"/>
        <v>177.40265774765228</v>
      </c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</row>
    <row r="12" spans="1:71" s="1" customFormat="1">
      <c r="A12" s="8" t="s">
        <v>88</v>
      </c>
      <c r="B12" s="4">
        <v>1</v>
      </c>
      <c r="C12" s="37" t="s">
        <v>103</v>
      </c>
      <c r="D12" s="45"/>
      <c r="E12" s="24"/>
      <c r="F12" s="26" t="s">
        <v>55</v>
      </c>
      <c r="G12" s="32">
        <f>1/(D30*B31)*1000000</f>
        <v>7142857.1428571427</v>
      </c>
      <c r="H12" s="24"/>
      <c r="I12" s="24"/>
      <c r="J12" s="24"/>
      <c r="K12" s="12"/>
      <c r="L12" s="12"/>
      <c r="M12" s="12"/>
      <c r="N12" s="12"/>
      <c r="O12" s="12"/>
      <c r="P12" s="12"/>
      <c r="Q12" s="12"/>
      <c r="R12" s="24"/>
      <c r="S12" s="24" t="s">
        <v>65</v>
      </c>
      <c r="T12" s="24">
        <v>0.68</v>
      </c>
      <c r="U12" s="25" t="s">
        <v>56</v>
      </c>
      <c r="V12" s="24"/>
      <c r="W12" s="24"/>
      <c r="X12" s="24"/>
      <c r="Y12" s="24">
        <v>10</v>
      </c>
      <c r="Z12" s="24">
        <f t="shared" si="1"/>
        <v>1.849784491579884</v>
      </c>
      <c r="AA12" s="24" t="str">
        <f t="shared" si="10"/>
        <v>11.6225387389434i</v>
      </c>
      <c r="AB12" s="24">
        <f t="shared" si="2"/>
        <v>7.8571428571428568</v>
      </c>
      <c r="AC12" s="24"/>
      <c r="AD12" s="24" t="str">
        <f t="shared" si="3"/>
        <v>0.999999888590409-0.000332968148775867i</v>
      </c>
      <c r="AE12" s="24" t="str">
        <f t="shared" si="4"/>
        <v>0.999999999979965-4.84321617363271E-06i</v>
      </c>
      <c r="AF12" s="24" t="str">
        <f t="shared" ref="AF12:AF75" si="19">IMPRODUCT(AB12,AC$2,AD12,AE12)</f>
        <v>6.85440163102095-0.00231549502889183i</v>
      </c>
      <c r="AG12" s="24">
        <f t="shared" si="5"/>
        <v>6.8544020221212518</v>
      </c>
      <c r="AH12" s="24">
        <f t="shared" si="12"/>
        <v>-3.3781138974025719E-4</v>
      </c>
      <c r="AI12" s="24">
        <f t="shared" si="0"/>
        <v>-1.9355166903565695E-2</v>
      </c>
      <c r="AJ12" s="24">
        <f t="shared" si="13"/>
        <v>16.719391458744745</v>
      </c>
      <c r="AK12" s="24"/>
      <c r="AL12" s="24" t="str">
        <f t="shared" si="14"/>
        <v>0.997685637808406-0.0480521166988478i</v>
      </c>
      <c r="AM12" s="24" t="str">
        <f t="shared" si="15"/>
        <v>1.00000000096394+0.000260555358381829i</v>
      </c>
      <c r="AN12" s="24" t="str">
        <f t="shared" si="16"/>
        <v>-335.396402389454+16.0663020769966i</v>
      </c>
      <c r="AO12" s="24">
        <f t="shared" si="6"/>
        <v>335.780989334146</v>
      </c>
      <c r="AP12" s="24">
        <f t="shared" si="7"/>
        <v>3.0937268146994494</v>
      </c>
      <c r="AQ12" s="24">
        <f t="shared" si="8"/>
        <v>177.25748944873015</v>
      </c>
      <c r="AR12" s="24">
        <f t="shared" si="9"/>
        <v>50.521122087321615</v>
      </c>
      <c r="AS12" s="24">
        <f t="shared" si="17"/>
        <v>67.240513546066353</v>
      </c>
      <c r="AT12" s="24">
        <f t="shared" si="18"/>
        <v>177.23813428182658</v>
      </c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</row>
    <row r="13" spans="1:71" s="1" customFormat="1">
      <c r="A13" s="8" t="s">
        <v>11</v>
      </c>
      <c r="B13" s="40">
        <v>1E-3</v>
      </c>
      <c r="C13" s="37" t="s">
        <v>104</v>
      </c>
      <c r="D13" s="45"/>
      <c r="E13" s="24"/>
      <c r="F13" s="26"/>
      <c r="G13" s="30"/>
      <c r="H13" s="24"/>
      <c r="I13" s="24"/>
      <c r="J13" s="24"/>
      <c r="K13" s="12"/>
      <c r="L13" s="12"/>
      <c r="M13" s="12"/>
      <c r="N13" s="12"/>
      <c r="O13" s="12"/>
      <c r="P13" s="12"/>
      <c r="Q13" s="12"/>
      <c r="R13" s="24"/>
      <c r="S13" s="24" t="s">
        <v>66</v>
      </c>
      <c r="T13" s="33">
        <f>D30</f>
        <v>20</v>
      </c>
      <c r="U13" s="24"/>
      <c r="V13" s="24"/>
      <c r="W13" s="24"/>
      <c r="X13" s="24"/>
      <c r="Y13" s="24">
        <v>11</v>
      </c>
      <c r="Z13" s="24">
        <f t="shared" si="1"/>
        <v>1.967130841296868</v>
      </c>
      <c r="AA13" s="24" t="str">
        <f t="shared" si="10"/>
        <v>12.3598475993363i</v>
      </c>
      <c r="AB13" s="24">
        <f t="shared" si="2"/>
        <v>7.8571428571428568</v>
      </c>
      <c r="AC13" s="24"/>
      <c r="AD13" s="24" t="str">
        <f t="shared" si="3"/>
        <v>0.999999874006888-0.000354090926812961i</v>
      </c>
      <c r="AE13" s="24" t="str">
        <f t="shared" si="4"/>
        <v>0.999999999977343-5.15045939111689E-06i</v>
      </c>
      <c r="AF13" s="24" t="str">
        <f t="shared" si="19"/>
        <v>6.85440152959473-0.00246238501737807i</v>
      </c>
      <c r="AG13" s="24">
        <f t="shared" si="5"/>
        <v>6.8544019718900744</v>
      </c>
      <c r="AH13" s="24">
        <f t="shared" si="12"/>
        <v>-3.5924141601848295E-4</v>
      </c>
      <c r="AI13" s="24">
        <f t="shared" si="0"/>
        <v>-2.0583016964162478E-2</v>
      </c>
      <c r="AJ13" s="24">
        <f t="shared" si="13"/>
        <v>16.719391395091858</v>
      </c>
      <c r="AK13" s="24"/>
      <c r="AL13" s="24" t="str">
        <f t="shared" si="14"/>
        <v>0.997383480335509-0.0510849634367771i</v>
      </c>
      <c r="AM13" s="24" t="str">
        <f t="shared" si="15"/>
        <v>1.00000000109012+0.000277084429926955i</v>
      </c>
      <c r="AN13" s="24" t="str">
        <f t="shared" si="16"/>
        <v>-335.295375597401+17.0803392369893i</v>
      </c>
      <c r="AO13" s="24">
        <f t="shared" si="6"/>
        <v>335.73013997175298</v>
      </c>
      <c r="AP13" s="24">
        <f t="shared" si="7"/>
        <v>3.0906954777557942</v>
      </c>
      <c r="AQ13" s="24">
        <f t="shared" si="8"/>
        <v>177.08380663557662</v>
      </c>
      <c r="AR13" s="24">
        <f t="shared" si="9"/>
        <v>50.519806630491544</v>
      </c>
      <c r="AS13" s="24">
        <f t="shared" si="17"/>
        <v>67.239198025583406</v>
      </c>
      <c r="AT13" s="24">
        <f t="shared" si="18"/>
        <v>177.06322361861245</v>
      </c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</row>
    <row r="14" spans="1:71" s="1" customFormat="1">
      <c r="A14" s="8"/>
      <c r="B14" s="12"/>
      <c r="C14" s="20"/>
      <c r="D14" s="45"/>
      <c r="E14" s="24"/>
      <c r="F14" s="26" t="s">
        <v>60</v>
      </c>
      <c r="G14" s="32">
        <f>(1/(B23*D30*1000000)+(G8*(1-B17)-0.5)/(D24/1000000*D30*1000000*B7)/1000000)*10^12</f>
        <v>34736.104476701032</v>
      </c>
      <c r="H14" s="24"/>
      <c r="I14" s="24"/>
      <c r="J14" s="24"/>
      <c r="K14" s="12"/>
      <c r="L14" s="12"/>
      <c r="M14" s="12"/>
      <c r="N14" s="12"/>
      <c r="O14" s="12"/>
      <c r="P14" s="12"/>
      <c r="Q14" s="12"/>
      <c r="R14" s="24"/>
      <c r="S14" s="24" t="s">
        <v>67</v>
      </c>
      <c r="T14" s="24">
        <f>B31</f>
        <v>7.0000000000000001E-3</v>
      </c>
      <c r="U14" s="24"/>
      <c r="V14" s="24"/>
      <c r="W14" s="24"/>
      <c r="X14" s="24"/>
      <c r="Y14" s="24">
        <v>12</v>
      </c>
      <c r="Z14" s="24">
        <f t="shared" si="1"/>
        <v>2.0919213910569279</v>
      </c>
      <c r="AA14" s="24" t="str">
        <f t="shared" si="10"/>
        <v>13.1439297480636i</v>
      </c>
      <c r="AB14" s="24">
        <f t="shared" si="2"/>
        <v>7.8571428571428568</v>
      </c>
      <c r="AC14" s="24"/>
      <c r="AD14" s="24" t="str">
        <f t="shared" si="3"/>
        <v>0.999999857514385-0.000376553687407325i</v>
      </c>
      <c r="AE14" s="24" t="str">
        <f t="shared" si="4"/>
        <v>0.999999999974376-5.47719345751184E-06i</v>
      </c>
      <c r="AF14" s="24" t="str">
        <f t="shared" si="19"/>
        <v>6.85440141489181-0.00261859338349657i</v>
      </c>
      <c r="AG14" s="24">
        <f t="shared" si="5"/>
        <v>6.8544019150836322</v>
      </c>
      <c r="AH14" s="24">
        <f t="shared" si="12"/>
        <v>-3.8203091672088898E-4</v>
      </c>
      <c r="AI14" s="24">
        <f t="shared" si="0"/>
        <v>-2.188875917162077E-2</v>
      </c>
      <c r="AJ14" s="24">
        <f t="shared" si="13"/>
        <v>16.719391323106805</v>
      </c>
      <c r="AK14" s="24"/>
      <c r="AL14" s="24" t="str">
        <f t="shared" si="14"/>
        <v>0.997041990882249-0.0543070833299883i</v>
      </c>
      <c r="AM14" s="24" t="str">
        <f t="shared" si="15"/>
        <v>1.00000000123282+0.000294662070220861i</v>
      </c>
      <c r="AN14" s="24" t="str">
        <f t="shared" si="16"/>
        <v>-335.18119810031+18.1576601797655i</v>
      </c>
      <c r="AO14" s="24">
        <f t="shared" si="6"/>
        <v>335.67266225172864</v>
      </c>
      <c r="AP14" s="24">
        <f t="shared" si="7"/>
        <v>3.0874728843506754</v>
      </c>
      <c r="AQ14" s="24">
        <f t="shared" si="8"/>
        <v>176.89916563437663</v>
      </c>
      <c r="AR14" s="24">
        <f t="shared" si="9"/>
        <v>50.518319460249344</v>
      </c>
      <c r="AS14" s="24">
        <f t="shared" si="17"/>
        <v>67.23771078335615</v>
      </c>
      <c r="AT14" s="24">
        <f t="shared" si="18"/>
        <v>176.87727687520501</v>
      </c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</row>
    <row r="15" spans="1:71" s="1" customFormat="1">
      <c r="A15" s="8"/>
      <c r="B15" s="38" t="s">
        <v>106</v>
      </c>
      <c r="C15" s="20"/>
      <c r="D15" s="46" t="s">
        <v>92</v>
      </c>
      <c r="E15" s="24"/>
      <c r="F15" s="44" t="s">
        <v>71</v>
      </c>
      <c r="G15" s="44">
        <v>1400000</v>
      </c>
      <c r="H15" s="24"/>
      <c r="I15" s="24"/>
      <c r="J15" s="24"/>
      <c r="K15" s="12"/>
      <c r="L15" s="12"/>
      <c r="M15" s="12"/>
      <c r="N15" s="12"/>
      <c r="O15" s="12"/>
      <c r="P15" s="12"/>
      <c r="Q15" s="12"/>
      <c r="R15" s="24"/>
      <c r="S15" s="34" t="s">
        <v>68</v>
      </c>
      <c r="T15" s="24"/>
      <c r="U15" s="24"/>
      <c r="V15" s="24"/>
      <c r="W15" s="24"/>
      <c r="X15" s="24"/>
      <c r="Y15" s="24">
        <v>13</v>
      </c>
      <c r="Z15" s="24">
        <f t="shared" si="1"/>
        <v>2.2246283849001642</v>
      </c>
      <c r="AA15" s="24" t="str">
        <f t="shared" si="10"/>
        <v>13.9777523819394i</v>
      </c>
      <c r="AB15" s="24">
        <f t="shared" si="2"/>
        <v>7.8571428571428568</v>
      </c>
      <c r="AC15" s="24"/>
      <c r="AD15" s="24" t="str">
        <f t="shared" si="3"/>
        <v>0.999999838863012-0.000400441435957333i</v>
      </c>
      <c r="AE15" s="24" t="str">
        <f t="shared" si="4"/>
        <v>0.999999999971023-5.82465483035201E-06i</v>
      </c>
      <c r="AF15" s="24" t="str">
        <f t="shared" si="19"/>
        <v>6.85440128517429-0.00278471126360082i</v>
      </c>
      <c r="AG15" s="24">
        <f t="shared" si="5"/>
        <v>6.8544018508412377</v>
      </c>
      <c r="AH15" s="24">
        <f t="shared" si="12"/>
        <v>-4.0626613390967568E-4</v>
      </c>
      <c r="AI15" s="24">
        <f t="shared" si="0"/>
        <v>-2.3277334832121157E-2</v>
      </c>
      <c r="AJ15" s="24">
        <f t="shared" si="13"/>
        <v>16.719391241698922</v>
      </c>
      <c r="AK15" s="24"/>
      <c r="AL15" s="24" t="str">
        <f t="shared" si="14"/>
        <v>0.996656082090534-0.0577298546895868i</v>
      </c>
      <c r="AM15" s="24" t="str">
        <f t="shared" si="15"/>
        <v>1.0000000013942+0.000313354798209734i</v>
      </c>
      <c r="AN15" s="24" t="str">
        <f t="shared" si="16"/>
        <v>-335.052168932579+19.3020692619671i</v>
      </c>
      <c r="AO15" s="24">
        <f t="shared" si="6"/>
        <v>335.60769625296024</v>
      </c>
      <c r="AP15" s="24">
        <f t="shared" si="7"/>
        <v>3.0840471124890985</v>
      </c>
      <c r="AQ15" s="24">
        <f t="shared" si="8"/>
        <v>176.70288336513357</v>
      </c>
      <c r="AR15" s="24">
        <f t="shared" si="9"/>
        <v>50.516638232755824</v>
      </c>
      <c r="AS15" s="24">
        <f t="shared" si="17"/>
        <v>67.236029474454739</v>
      </c>
      <c r="AT15" s="24">
        <f t="shared" si="18"/>
        <v>176.67960603030144</v>
      </c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</row>
    <row r="16" spans="1:71" s="1" customFormat="1">
      <c r="A16" s="9" t="s">
        <v>84</v>
      </c>
      <c r="B16" s="12"/>
      <c r="C16" s="12"/>
      <c r="D16" s="13"/>
      <c r="E16" s="12"/>
      <c r="F16" s="31" t="s">
        <v>75</v>
      </c>
      <c r="G16" s="19">
        <f>1/D46/G18</f>
        <v>43982.297150257109</v>
      </c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24"/>
      <c r="S16" s="24" t="s">
        <v>69</v>
      </c>
      <c r="T16" s="24">
        <f>1*10^-13</f>
        <v>1E-13</v>
      </c>
      <c r="U16" s="24" t="s">
        <v>70</v>
      </c>
      <c r="V16" s="24"/>
      <c r="W16" s="24"/>
      <c r="X16" s="24"/>
      <c r="Y16" s="24">
        <v>14</v>
      </c>
      <c r="Z16" s="24">
        <f t="shared" si="1"/>
        <v>2.365754025012901</v>
      </c>
      <c r="AA16" s="24" t="str">
        <f t="shared" si="10"/>
        <v>14.864470930362i</v>
      </c>
      <c r="AB16" s="24">
        <f t="shared" si="2"/>
        <v>7.8571428571428568</v>
      </c>
      <c r="AC16" s="24"/>
      <c r="AD16" s="24" t="str">
        <f t="shared" si="3"/>
        <v>0.999999817770175-0.00042584457037783i</v>
      </c>
      <c r="AE16" s="24" t="str">
        <f t="shared" si="4"/>
        <v>0.999999999967229-6.19415840537839E-06i</v>
      </c>
      <c r="AF16" s="24" t="str">
        <f t="shared" si="19"/>
        <v>6.85440113847674-0.00296136729416287i</v>
      </c>
      <c r="AG16" s="24">
        <f t="shared" si="5"/>
        <v>6.8544017781895068</v>
      </c>
      <c r="AH16" s="24">
        <f t="shared" si="12"/>
        <v>-4.3203878064352133E-4</v>
      </c>
      <c r="AI16" s="24">
        <f t="shared" si="0"/>
        <v>-2.4753998716852136E-2</v>
      </c>
      <c r="AJ16" s="24">
        <f t="shared" si="13"/>
        <v>16.719391149634738</v>
      </c>
      <c r="AK16" s="24"/>
      <c r="AL16" s="24" t="str">
        <f t="shared" si="14"/>
        <v>0.996220017608495-0.0613652517686063i</v>
      </c>
      <c r="AM16" s="24" t="str">
        <f t="shared" si="15"/>
        <v>1.0000000015767+0.000333233352658642i</v>
      </c>
      <c r="AN16" s="24" t="str">
        <f t="shared" si="16"/>
        <v>-334.906370136586+20.5175700943987i</v>
      </c>
      <c r="AO16" s="24">
        <f t="shared" si="6"/>
        <v>335.53427163352859</v>
      </c>
      <c r="AP16" s="24">
        <f t="shared" si="7"/>
        <v>3.0804055262983612</v>
      </c>
      <c r="AQ16" s="24">
        <f t="shared" si="8"/>
        <v>176.4942358456712</v>
      </c>
      <c r="AR16" s="24">
        <f t="shared" si="9"/>
        <v>50.514737716399637</v>
      </c>
      <c r="AS16" s="24">
        <f t="shared" si="17"/>
        <v>67.234128866034382</v>
      </c>
      <c r="AT16" s="24">
        <f t="shared" si="18"/>
        <v>176.46948184695435</v>
      </c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</row>
    <row r="17" spans="1:71" s="1" customFormat="1">
      <c r="A17" s="8" t="s">
        <v>12</v>
      </c>
      <c r="B17" s="14">
        <f>(B5+B6*B25+B10*B6)/(B4)</f>
        <v>0.30451612903225805</v>
      </c>
      <c r="C17" s="21"/>
      <c r="D17" s="13"/>
      <c r="E17" s="12"/>
      <c r="F17" s="8" t="s">
        <v>77</v>
      </c>
      <c r="G17" s="19">
        <f>1/B42/G18</f>
        <v>241.31382281009294</v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24"/>
      <c r="S17" s="24" t="s">
        <v>71</v>
      </c>
      <c r="T17" s="24">
        <f>B42</f>
        <v>1400000</v>
      </c>
      <c r="U17" s="25" t="s">
        <v>56</v>
      </c>
      <c r="V17" s="24"/>
      <c r="W17" s="24"/>
      <c r="X17" s="24"/>
      <c r="Y17" s="24">
        <v>15</v>
      </c>
      <c r="Z17" s="24">
        <f t="shared" si="1"/>
        <v>2.5158323722080485</v>
      </c>
      <c r="AA17" s="24" t="str">
        <f t="shared" si="10"/>
        <v>15.8074409963844i</v>
      </c>
      <c r="AB17" s="24">
        <f t="shared" si="2"/>
        <v>7.8571428571428568</v>
      </c>
      <c r="AC17" s="24"/>
      <c r="AD17" s="24" t="str">
        <f t="shared" si="3"/>
        <v>0.999999793916285-0.000452859223181029i</v>
      </c>
      <c r="AE17" s="24" t="str">
        <f t="shared" si="4"/>
        <v>0.999999999962939-6.58710249248976E-06i</v>
      </c>
      <c r="AF17" s="24" t="str">
        <f t="shared" si="19"/>
        <v>6.85440097257647-0.00314922999063938i</v>
      </c>
      <c r="AG17" s="24">
        <f t="shared" si="5"/>
        <v>6.8544016960276553</v>
      </c>
      <c r="AH17" s="24">
        <f t="shared" si="12"/>
        <v>-4.594463880429036E-4</v>
      </c>
      <c r="AI17" s="24">
        <f t="shared" si="0"/>
        <v>-2.6324338947388268E-2</v>
      </c>
      <c r="AJ17" s="24">
        <f t="shared" si="13"/>
        <v>16.719391045519338</v>
      </c>
      <c r="AK17" s="24"/>
      <c r="AL17" s="24" t="str">
        <f t="shared" si="14"/>
        <v>0.995727331805504-0.0652258576102771i</v>
      </c>
      <c r="AM17" s="24" t="str">
        <f t="shared" si="15"/>
        <v>1.00000000178309+0.000354372959847762i</v>
      </c>
      <c r="AN17" s="24" t="str">
        <f t="shared" si="16"/>
        <v>-334.741639919295+21.8083698378714i</v>
      </c>
      <c r="AO17" s="24">
        <f t="shared" si="6"/>
        <v>335.45129376832682</v>
      </c>
      <c r="AP17" s="24">
        <f t="shared" si="7"/>
        <v>3.0765347392279923</v>
      </c>
      <c r="AQ17" s="24">
        <f t="shared" si="8"/>
        <v>176.27245608314527</v>
      </c>
      <c r="AR17" s="24">
        <f t="shared" si="9"/>
        <v>50.512589424035738</v>
      </c>
      <c r="AS17" s="24">
        <f t="shared" si="17"/>
        <v>67.231980469555083</v>
      </c>
      <c r="AT17" s="24">
        <f t="shared" si="18"/>
        <v>176.2461317441979</v>
      </c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</row>
    <row r="18" spans="1:71" s="1" customFormat="1">
      <c r="A18" s="8" t="s">
        <v>13</v>
      </c>
      <c r="B18" s="14">
        <f>B8/100*B4</f>
        <v>1.55E-2</v>
      </c>
      <c r="C18" s="19" t="s">
        <v>100</v>
      </c>
      <c r="D18" s="13"/>
      <c r="E18" s="12"/>
      <c r="F18" s="31" t="s">
        <v>94</v>
      </c>
      <c r="G18" s="29">
        <f>D47/1000000000000</f>
        <v>2.9599867341533797E-9</v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24" t="s">
        <v>72</v>
      </c>
      <c r="T18" s="24">
        <v>0</v>
      </c>
      <c r="U18" s="25" t="s">
        <v>56</v>
      </c>
      <c r="V18" s="24"/>
      <c r="W18" s="24"/>
      <c r="X18" s="24"/>
      <c r="Y18" s="24">
        <v>16</v>
      </c>
      <c r="Z18" s="24">
        <f t="shared" si="1"/>
        <v>2.6754313669678584</v>
      </c>
      <c r="AA18" s="24" t="str">
        <f t="shared" si="10"/>
        <v>16.8102310552998i</v>
      </c>
      <c r="AB18" s="24">
        <f t="shared" si="2"/>
        <v>7.8571428571428568</v>
      </c>
      <c r="AC18" s="24"/>
      <c r="AD18" s="24" t="str">
        <f t="shared" si="3"/>
        <v>0.999999766939921-0.000481587625256497i</v>
      </c>
      <c r="AE18" s="24" t="str">
        <f t="shared" si="4"/>
        <v>0.999999999958088-7.00497410735715E-06i</v>
      </c>
      <c r="AF18" s="24" t="str">
        <f t="shared" si="19"/>
        <v>6.85440078495987-0.00334901027723536i</v>
      </c>
      <c r="AG18" s="24">
        <f t="shared" si="5"/>
        <v>6.854401603110829</v>
      </c>
      <c r="AH18" s="24">
        <f t="shared" si="12"/>
        <v>-4.8859267437188888E-4</v>
      </c>
      <c r="AI18" s="24">
        <f t="shared" si="0"/>
        <v>-2.7994298142518973E-2</v>
      </c>
      <c r="AJ18" s="24">
        <f t="shared" si="13"/>
        <v>16.719390927775247</v>
      </c>
      <c r="AK18" s="24"/>
      <c r="AL18" s="24" t="str">
        <f t="shared" si="14"/>
        <v>0.995170740254702-0.069324872849578i</v>
      </c>
      <c r="AM18" s="24" t="str">
        <f t="shared" si="15"/>
        <v>1.00000000201649+0.000376853618250681i</v>
      </c>
      <c r="AN18" s="24" t="str">
        <f t="shared" si="16"/>
        <v>-334.555542721954+23.178882146022i</v>
      </c>
      <c r="AO18" s="24">
        <f t="shared" si="6"/>
        <v>335.35752823445063</v>
      </c>
      <c r="AP18" s="24">
        <f t="shared" si="7"/>
        <v>3.0724205765954018</v>
      </c>
      <c r="AQ18" s="24">
        <f t="shared" si="8"/>
        <v>176.03673192806741</v>
      </c>
      <c r="AR18" s="24">
        <f t="shared" si="9"/>
        <v>50.510161199904829</v>
      </c>
      <c r="AS18" s="24">
        <f t="shared" si="17"/>
        <v>67.22955212768008</v>
      </c>
      <c r="AT18" s="24">
        <f t="shared" si="18"/>
        <v>176.00873762992489</v>
      </c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</row>
    <row r="19" spans="1:71" s="1" customFormat="1">
      <c r="A19" s="8" t="s">
        <v>14</v>
      </c>
      <c r="B19" s="14">
        <f>(B6*(1-B17)*B17)/(B7*B18)/1000000*1000000</f>
        <v>13.663616528481757</v>
      </c>
      <c r="C19" s="19" t="s">
        <v>108</v>
      </c>
      <c r="D19" s="6">
        <v>330</v>
      </c>
      <c r="E19" s="13" t="s">
        <v>108</v>
      </c>
      <c r="F19" s="35" t="s">
        <v>95</v>
      </c>
      <c r="G19" s="19">
        <f>D48/1000000000000</f>
        <v>4.1439814278147323E-11</v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24" t="s">
        <v>73</v>
      </c>
      <c r="T19" s="24">
        <f>B13</f>
        <v>1E-3</v>
      </c>
      <c r="U19" s="24"/>
      <c r="V19" s="24"/>
      <c r="W19" s="24"/>
      <c r="X19" s="24"/>
      <c r="Y19" s="24">
        <v>17</v>
      </c>
      <c r="Z19" s="24">
        <f t="shared" si="1"/>
        <v>2.8451549786972743</v>
      </c>
      <c r="AA19" s="24" t="str">
        <f t="shared" si="10"/>
        <v>17.8766359587996i</v>
      </c>
      <c r="AB19" s="24">
        <f t="shared" si="2"/>
        <v>7.8571428571428568</v>
      </c>
      <c r="AC19" s="24"/>
      <c r="AD19" s="24" t="str">
        <f t="shared" si="3"/>
        <v>0.999999736432351-0.000512138492726466i</v>
      </c>
      <c r="AE19" s="24" t="str">
        <f t="shared" si="4"/>
        <v>0.999999999952602-7.44935459872761E-06i</v>
      </c>
      <c r="AF19" s="24" t="str">
        <f t="shared" si="19"/>
        <v>6.85440057278425-0.00356146417713606i</v>
      </c>
      <c r="AG19" s="24">
        <f t="shared" si="5"/>
        <v>6.8544014980311845</v>
      </c>
      <c r="AH19" s="24">
        <f t="shared" si="12"/>
        <v>-5.1958793753299737E-4</v>
      </c>
      <c r="AI19" s="24">
        <f t="shared" si="0"/>
        <v>-2.9770195906547808E-2</v>
      </c>
      <c r="AJ19" s="24">
        <f t="shared" si="13"/>
        <v>16.719390794618441</v>
      </c>
      <c r="AK19" s="24"/>
      <c r="AL19" s="24" t="str">
        <f t="shared" si="14"/>
        <v>0.994542040119542-0.0736761192952072i</v>
      </c>
      <c r="AM19" s="24" t="str">
        <f t="shared" si="15"/>
        <v>1.00000000228045+0.000400760401272098i</v>
      </c>
      <c r="AN19" s="24" t="str">
        <f t="shared" si="16"/>
        <v>-334.345335914194+24.6337283629583i</v>
      </c>
      <c r="AO19" s="24">
        <f t="shared" si="6"/>
        <v>335.25158347222646</v>
      </c>
      <c r="AP19" s="24">
        <f t="shared" si="7"/>
        <v>3.0680480377621677</v>
      </c>
      <c r="AQ19" s="24">
        <f t="shared" si="8"/>
        <v>175.78620390716603</v>
      </c>
      <c r="AR19" s="24">
        <f t="shared" si="9"/>
        <v>50.507416756073091</v>
      </c>
      <c r="AS19" s="24">
        <f t="shared" si="17"/>
        <v>67.226807550691532</v>
      </c>
      <c r="AT19" s="24">
        <f t="shared" si="18"/>
        <v>175.75643371125949</v>
      </c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</row>
    <row r="20" spans="1:71" s="1" customFormat="1">
      <c r="A20" s="8" t="s">
        <v>15</v>
      </c>
      <c r="B20" s="14">
        <f>B6*SQRT(B17*(1-B17))</f>
        <v>0.92040438110966694</v>
      </c>
      <c r="C20" s="19" t="s">
        <v>101</v>
      </c>
      <c r="D20" s="13"/>
      <c r="E20" s="12"/>
      <c r="F20" s="35" t="s">
        <v>76</v>
      </c>
      <c r="G20" s="19">
        <f>1/D46/D48*1000000000000</f>
        <v>3141592.653589793</v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24" t="s">
        <v>74</v>
      </c>
      <c r="T20" s="24">
        <v>0</v>
      </c>
      <c r="U20" s="24"/>
      <c r="V20" s="24"/>
      <c r="W20" s="24"/>
      <c r="X20" s="24"/>
      <c r="Y20" s="24">
        <v>18</v>
      </c>
      <c r="Z20" s="24">
        <f t="shared" si="1"/>
        <v>3.0256454913213009</v>
      </c>
      <c r="AA20" s="24" t="str">
        <f t="shared" si="10"/>
        <v>19.0106912958042i</v>
      </c>
      <c r="AB20" s="24">
        <f t="shared" si="2"/>
        <v>7.8571428571428568</v>
      </c>
      <c r="AC20" s="24"/>
      <c r="AD20" s="24" t="str">
        <f t="shared" si="3"/>
        <v>0.99999970193134-0.000544627438339801i</v>
      </c>
      <c r="AE20" s="24" t="str">
        <f t="shared" si="4"/>
        <v>0.999999999946398-7.92192563271122E-06i</v>
      </c>
      <c r="AF20" s="24" t="str">
        <f t="shared" si="19"/>
        <v>6.85440033283485-0.0037873956733833i</v>
      </c>
      <c r="AG20" s="24">
        <f t="shared" si="5"/>
        <v>6.8544013791966174</v>
      </c>
      <c r="AH20" s="24">
        <f t="shared" si="12"/>
        <v>-5.5254947246019385E-4</v>
      </c>
      <c r="AI20" s="24">
        <f t="shared" si="0"/>
        <v>-3.165875274414922E-2</v>
      </c>
      <c r="AJ20" s="24">
        <f t="shared" si="13"/>
        <v>16.719390644031417</v>
      </c>
      <c r="AK20" s="24"/>
      <c r="AL20" s="24" t="str">
        <f t="shared" si="14"/>
        <v>0.993831999559099-0.0782940368831604i</v>
      </c>
      <c r="AM20" s="24" t="str">
        <f t="shared" si="15"/>
        <v>1.00000000257896+0.000426183779190509i</v>
      </c>
      <c r="AN20" s="24" t="str">
        <f t="shared" si="16"/>
        <v>-334.107932816526+26.177736504691i</v>
      </c>
      <c r="AO20" s="24">
        <f t="shared" si="6"/>
        <v>335.13189143893976</v>
      </c>
      <c r="AP20" s="24">
        <f t="shared" si="7"/>
        <v>3.0634012583051753</v>
      </c>
      <c r="AQ20" s="24">
        <f t="shared" si="8"/>
        <v>175.51996305595227</v>
      </c>
      <c r="AR20" s="24">
        <f t="shared" si="9"/>
        <v>50.504315152762032</v>
      </c>
      <c r="AS20" s="24">
        <f t="shared" si="17"/>
        <v>67.223705796793453</v>
      </c>
      <c r="AT20" s="24">
        <f t="shared" si="18"/>
        <v>175.48830430320814</v>
      </c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</row>
    <row r="21" spans="1:71" s="1" customFormat="1">
      <c r="A21" s="8"/>
      <c r="B21" s="12"/>
      <c r="C21" s="19"/>
      <c r="D21" s="13"/>
      <c r="E21" s="12"/>
      <c r="F21" s="29"/>
      <c r="G21" s="31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24" t="s">
        <v>75</v>
      </c>
      <c r="T21" s="24">
        <f>G16</f>
        <v>43982.297150257109</v>
      </c>
      <c r="U21" s="24"/>
      <c r="V21" s="24"/>
      <c r="W21" s="24"/>
      <c r="X21" s="24"/>
      <c r="Y21" s="24">
        <v>19</v>
      </c>
      <c r="Z21" s="24">
        <f t="shared" si="1"/>
        <v>3.2175859338757533</v>
      </c>
      <c r="AA21" s="24" t="str">
        <f t="shared" si="10"/>
        <v>20.2166886643158i</v>
      </c>
      <c r="AB21" s="24">
        <f t="shared" si="2"/>
        <v>7.8571428571428568</v>
      </c>
      <c r="AC21" s="24"/>
      <c r="AD21" s="24" t="str">
        <f t="shared" si="3"/>
        <v>0.999999662914148-0.000579177408960869i</v>
      </c>
      <c r="AE21" s="24" t="str">
        <f t="shared" si="4"/>
        <v>0.999999999939381-8.42447555669904E-06i</v>
      </c>
      <c r="AF21" s="24" t="str">
        <f t="shared" si="19"/>
        <v>6.85440006147607-0.00402765975121839i</v>
      </c>
      <c r="AG21" s="24">
        <f t="shared" si="5"/>
        <v>6.8544012448065956</v>
      </c>
      <c r="AH21" s="24">
        <f t="shared" si="12"/>
        <v>-5.8760201498939786E-4</v>
      </c>
      <c r="AI21" s="24">
        <f t="shared" si="0"/>
        <v>-3.3667115492275433E-2</v>
      </c>
      <c r="AJ21" s="24">
        <f t="shared" si="13"/>
        <v>16.719390473732535</v>
      </c>
      <c r="AK21" s="24"/>
      <c r="AL21" s="24" t="str">
        <f t="shared" si="14"/>
        <v>0.993030235265827-0.0831936723178123i</v>
      </c>
      <c r="AM21" s="24" t="str">
        <f t="shared" si="15"/>
        <v>1.00000000291655+0.000453219961524301i</v>
      </c>
      <c r="AN21" s="24" t="str">
        <f t="shared" si="16"/>
        <v>-333.83986175492+27.8159374612726i</v>
      </c>
      <c r="AO21" s="24">
        <f t="shared" si="6"/>
        <v>334.99668606330044</v>
      </c>
      <c r="AP21" s="24">
        <f t="shared" si="7"/>
        <v>3.0584634726417805</v>
      </c>
      <c r="AQ21" s="24">
        <f t="shared" si="8"/>
        <v>175.23704877729955</v>
      </c>
      <c r="AR21" s="24">
        <f t="shared" si="9"/>
        <v>50.500810216465808</v>
      </c>
      <c r="AS21" s="24">
        <f t="shared" si="17"/>
        <v>67.22020069019834</v>
      </c>
      <c r="AT21" s="24">
        <f t="shared" si="18"/>
        <v>175.20338166180727</v>
      </c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</row>
    <row r="22" spans="1:71" s="1" customFormat="1">
      <c r="A22" s="9" t="s">
        <v>86</v>
      </c>
      <c r="B22" s="12"/>
      <c r="C22" s="12"/>
      <c r="D22" s="13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24" t="s">
        <v>76</v>
      </c>
      <c r="T22" s="24">
        <f>G20</f>
        <v>3141592.653589793</v>
      </c>
      <c r="U22" s="24"/>
      <c r="V22" s="24"/>
      <c r="W22" s="24"/>
      <c r="X22" s="24"/>
      <c r="Y22" s="24">
        <v>20</v>
      </c>
      <c r="Z22" s="24">
        <f t="shared" si="1"/>
        <v>3.42170266528945</v>
      </c>
      <c r="AA22" s="24" t="str">
        <f t="shared" si="10"/>
        <v>21.4991919120839i</v>
      </c>
      <c r="AB22" s="24">
        <f t="shared" si="2"/>
        <v>7.8571428571428568</v>
      </c>
      <c r="AC22" s="24"/>
      <c r="AD22" s="24" t="str">
        <f t="shared" si="3"/>
        <v>0.999999618789608-0.000615919150808048i</v>
      </c>
      <c r="AE22" s="24" t="str">
        <f t="shared" si="4"/>
        <v>0.999999999931446-0.0000089589061669942i</v>
      </c>
      <c r="AF22" s="24" t="str">
        <f t="shared" si="19"/>
        <v>6.85439975459645-0.0042831656333989i</v>
      </c>
      <c r="AG22" s="24">
        <f t="shared" si="5"/>
        <v>6.854401092824939</v>
      </c>
      <c r="AH22" s="24">
        <f t="shared" si="12"/>
        <v>-6.2487821388592497E-4</v>
      </c>
      <c r="AI22" s="24">
        <f t="shared" si="0"/>
        <v>-3.580288436533665E-2</v>
      </c>
      <c r="AJ22" s="24">
        <f t="shared" si="13"/>
        <v>16.719390281141543</v>
      </c>
      <c r="AK22" s="24"/>
      <c r="AL22" s="24" t="str">
        <f t="shared" si="14"/>
        <v>0.992125077277031-0.0883906573970111i</v>
      </c>
      <c r="AM22" s="24" t="str">
        <f t="shared" si="15"/>
        <v>1.00000000329832+0.00048197126111677i</v>
      </c>
      <c r="AN22" s="24" t="str">
        <f t="shared" si="16"/>
        <v>-333.537220860313+29.5535577497694i</v>
      </c>
      <c r="AO22" s="24">
        <f t="shared" si="6"/>
        <v>334.84397930213737</v>
      </c>
      <c r="AP22" s="24">
        <f t="shared" si="7"/>
        <v>3.0532169776814366</v>
      </c>
      <c r="AQ22" s="24">
        <f t="shared" si="8"/>
        <v>174.93644675883519</v>
      </c>
      <c r="AR22" s="24">
        <f t="shared" si="9"/>
        <v>50.496849889283517</v>
      </c>
      <c r="AS22" s="24">
        <f t="shared" si="17"/>
        <v>67.216240170425067</v>
      </c>
      <c r="AT22" s="24">
        <f t="shared" si="18"/>
        <v>174.90064387446986</v>
      </c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</row>
    <row r="23" spans="1:71" s="1" customFormat="1">
      <c r="A23" s="8" t="s">
        <v>97</v>
      </c>
      <c r="B23" s="14">
        <f>B5/B6</f>
        <v>1.65</v>
      </c>
      <c r="C23" s="37" t="s">
        <v>56</v>
      </c>
      <c r="D23" s="13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24" t="s">
        <v>77</v>
      </c>
      <c r="T23" s="24">
        <f>G17</f>
        <v>241.31382281009294</v>
      </c>
      <c r="U23" s="24"/>
      <c r="V23" s="24"/>
      <c r="W23" s="24"/>
      <c r="X23" s="24"/>
      <c r="Y23" s="24">
        <v>21</v>
      </c>
      <c r="Z23" s="24">
        <f t="shared" si="1"/>
        <v>3.6387681231394358</v>
      </c>
      <c r="AA23" s="24" t="str">
        <f t="shared" si="10"/>
        <v>22.8630544075431i</v>
      </c>
      <c r="AB23" s="24">
        <f t="shared" si="2"/>
        <v>7.8571428571428568</v>
      </c>
      <c r="AC23" s="24"/>
      <c r="AD23" s="24" t="str">
        <f t="shared" si="3"/>
        <v>0.999999568889166-0.000654991704201468i</v>
      </c>
      <c r="AE23" s="24" t="str">
        <f t="shared" si="4"/>
        <v>0.999999999922473-9.52723990576649E-06i</v>
      </c>
      <c r="AF23" s="24" t="str">
        <f t="shared" si="19"/>
        <v>6.85439940754629-0.00455488022072579i</v>
      </c>
      <c r="AG23" s="24">
        <f t="shared" si="5"/>
        <v>6.8544009209488728</v>
      </c>
      <c r="AH23" s="24">
        <f t="shared" si="12"/>
        <v>-6.6451913281483023E-4</v>
      </c>
      <c r="AI23" s="24">
        <f t="shared" si="0"/>
        <v>-3.8074141715983181E-2</v>
      </c>
      <c r="AJ23" s="24">
        <f t="shared" si="13"/>
        <v>16.719390063340377</v>
      </c>
      <c r="AK23" s="24"/>
      <c r="AL23" s="24" t="str">
        <f t="shared" si="14"/>
        <v>0.991103420268469-0.0939011746497943i</v>
      </c>
      <c r="AM23" s="24" t="str">
        <f t="shared" si="15"/>
        <v>1.00000000373008+0.000512546481317922i</v>
      </c>
      <c r="AN23" s="24" t="str">
        <f t="shared" si="16"/>
        <v>-333.195628348425+31.3960080251933i</v>
      </c>
      <c r="AO23" s="24">
        <f t="shared" si="6"/>
        <v>334.67153459835771</v>
      </c>
      <c r="AP23" s="24">
        <f t="shared" si="7"/>
        <v>3.0476430982105702</v>
      </c>
      <c r="AQ23" s="24">
        <f t="shared" si="8"/>
        <v>174.61708698963992</v>
      </c>
      <c r="AR23" s="24">
        <f t="shared" si="9"/>
        <v>50.492375502453868</v>
      </c>
      <c r="AS23" s="24">
        <f t="shared" si="17"/>
        <v>67.211765565794252</v>
      </c>
      <c r="AT23" s="24">
        <f t="shared" si="18"/>
        <v>174.57901284792393</v>
      </c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</row>
    <row r="24" spans="1:71" s="1" customFormat="1">
      <c r="A24" s="8" t="s">
        <v>98</v>
      </c>
      <c r="B24" s="14">
        <f>(B5*(1-B17))/(B7*B9*B6)*100/1000000*1000000</f>
        <v>1.9125806451612899</v>
      </c>
      <c r="C24" s="19" t="s">
        <v>109</v>
      </c>
      <c r="D24" s="6">
        <v>4.7</v>
      </c>
      <c r="E24" s="13" t="s">
        <v>109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24" t="s">
        <v>78</v>
      </c>
      <c r="T24" s="24">
        <f>D47</f>
        <v>2959.9867341533795</v>
      </c>
      <c r="U24" s="24" t="s">
        <v>70</v>
      </c>
      <c r="V24" s="24"/>
      <c r="W24" s="24"/>
      <c r="X24" s="24"/>
      <c r="Y24" s="24">
        <v>22</v>
      </c>
      <c r="Z24" s="24">
        <f t="shared" si="1"/>
        <v>3.8696037467813236</v>
      </c>
      <c r="AA24" s="24" t="str">
        <f t="shared" si="10"/>
        <v>24.3134374063835i</v>
      </c>
      <c r="AB24" s="24">
        <f t="shared" si="2"/>
        <v>7.8571428571428568</v>
      </c>
      <c r="AC24" s="24"/>
      <c r="AD24" s="24" t="str">
        <f t="shared" si="3"/>
        <v>0.99999951245676-0.000696542929691185i</v>
      </c>
      <c r="AE24" s="24" t="str">
        <f t="shared" si="4"/>
        <v>0.999999999912324-0.0000101316275145669i</v>
      </c>
      <c r="AF24" s="24" t="str">
        <f t="shared" si="19"/>
        <v>6.85439901506729-0.00484383175079317i</v>
      </c>
      <c r="AG24" s="24">
        <f t="shared" si="5"/>
        <v>6.8544007265742399</v>
      </c>
      <c r="AH24" s="24">
        <f t="shared" si="12"/>
        <v>-7.0667478415340271E-4</v>
      </c>
      <c r="AI24" s="24">
        <f t="shared" si="0"/>
        <v>-4.0489482620308409E-2</v>
      </c>
      <c r="AJ24" s="24">
        <f t="shared" si="13"/>
        <v>16.719389817029043</v>
      </c>
      <c r="AK24" s="24"/>
      <c r="AL24" s="24" t="str">
        <f t="shared" si="14"/>
        <v>0.989950560658184-0.0997419074949497i</v>
      </c>
      <c r="AM24" s="24" t="str">
        <f t="shared" si="15"/>
        <v>1.00000000421834+0.000545061327728266i</v>
      </c>
      <c r="AN24" s="24" t="str">
        <f t="shared" si="16"/>
        <v>-332.810168055158+33.3488664159518i</v>
      </c>
      <c r="AO24" s="24">
        <f t="shared" si="6"/>
        <v>334.47683754205093</v>
      </c>
      <c r="AP24" s="24">
        <f t="shared" si="7"/>
        <v>3.0417221548760955</v>
      </c>
      <c r="AQ24" s="24">
        <f t="shared" si="8"/>
        <v>174.2778419258384</v>
      </c>
      <c r="AR24" s="24">
        <f t="shared" si="9"/>
        <v>50.487320966682525</v>
      </c>
      <c r="AS24" s="24">
        <f t="shared" si="17"/>
        <v>67.206710783711571</v>
      </c>
      <c r="AT24" s="24">
        <f t="shared" si="18"/>
        <v>174.2373524432181</v>
      </c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</row>
    <row r="25" spans="1:71" s="1" customFormat="1">
      <c r="A25" s="8" t="s">
        <v>17</v>
      </c>
      <c r="B25" s="4">
        <v>0.06</v>
      </c>
      <c r="C25" s="37" t="s">
        <v>56</v>
      </c>
      <c r="D25" s="13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4" t="s">
        <v>79</v>
      </c>
      <c r="T25" s="24">
        <f>D48</f>
        <v>41.439814278147324</v>
      </c>
      <c r="U25" s="24" t="s">
        <v>70</v>
      </c>
      <c r="V25" s="24"/>
      <c r="W25" s="24"/>
      <c r="X25" s="24"/>
      <c r="Y25" s="24">
        <v>23</v>
      </c>
      <c r="Z25" s="24">
        <f t="shared" si="1"/>
        <v>4.1150830859167291</v>
      </c>
      <c r="AA25" s="24" t="str">
        <f t="shared" si="10"/>
        <v>25.8558295832552i</v>
      </c>
      <c r="AB25" s="24">
        <f t="shared" si="2"/>
        <v>7.8571428571428568</v>
      </c>
      <c r="AC25" s="24"/>
      <c r="AD25" s="24" t="str">
        <f t="shared" si="3"/>
        <v>0.999999448637356-0.000740730067555269i</v>
      </c>
      <c r="AE25" s="24" t="str">
        <f t="shared" si="4"/>
        <v>0.999999999900847-0.000010774356173364i</v>
      </c>
      <c r="AF25" s="24" t="str">
        <f t="shared" si="19"/>
        <v>6.85439857121281-0.00515111368879602i</v>
      </c>
      <c r="AG25" s="24">
        <f t="shared" si="5"/>
        <v>6.8544005067559661</v>
      </c>
      <c r="AH25" s="24">
        <f t="shared" si="12"/>
        <v>-7.515046966653728E-4</v>
      </c>
      <c r="AI25" s="24">
        <f t="shared" si="0"/>
        <v>-4.3058047403185008E-2</v>
      </c>
      <c r="AJ25" s="24">
        <f t="shared" si="13"/>
        <v>16.719389538475543</v>
      </c>
      <c r="AK25" s="24"/>
      <c r="AL25" s="24" t="str">
        <f t="shared" si="14"/>
        <v>0.988650019037776-0.105929971652886i</v>
      </c>
      <c r="AM25" s="24" t="str">
        <f t="shared" si="15"/>
        <v>1.00000000477052+0.000579638846062722i</v>
      </c>
      <c r="AN25" s="24" t="str">
        <f t="shared" si="16"/>
        <v>-332.375330066272+35.4178555913214i</v>
      </c>
      <c r="AO25" s="24">
        <f t="shared" si="6"/>
        <v>334.25706354743039</v>
      </c>
      <c r="AP25" s="24">
        <f t="shared" si="7"/>
        <v>3.0354334358191144</v>
      </c>
      <c r="AQ25" s="24">
        <f t="shared" si="8"/>
        <v>173.91752486532991</v>
      </c>
      <c r="AR25" s="24">
        <f t="shared" si="9"/>
        <v>50.48161187154556</v>
      </c>
      <c r="AS25" s="24">
        <f t="shared" si="17"/>
        <v>67.201001410021107</v>
      </c>
      <c r="AT25" s="24">
        <f t="shared" si="18"/>
        <v>173.87446681792673</v>
      </c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</row>
    <row r="26" spans="1:71" s="1" customFormat="1" ht="39" customHeight="1">
      <c r="A26" s="53" t="s">
        <v>112</v>
      </c>
      <c r="B26" s="53"/>
      <c r="C26" s="53"/>
      <c r="D26" s="53"/>
      <c r="E26" s="53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24"/>
      <c r="T26" s="24"/>
      <c r="U26" s="24"/>
      <c r="V26" s="24"/>
      <c r="W26" s="24"/>
      <c r="X26" s="24"/>
      <c r="Y26" s="24">
        <v>24</v>
      </c>
      <c r="Z26" s="24">
        <f t="shared" si="1"/>
        <v>4.376135106361553</v>
      </c>
      <c r="AA26" s="24" t="str">
        <f t="shared" si="10"/>
        <v>27.4960678025237i</v>
      </c>
      <c r="AB26" s="24">
        <f t="shared" si="2"/>
        <v>7.8571428571428568</v>
      </c>
      <c r="AC26" s="24"/>
      <c r="AD26" s="24" t="str">
        <f t="shared" si="3"/>
        <v>0.999999376463999-0.000787720332783557i</v>
      </c>
      <c r="AE26" s="24" t="str">
        <f t="shared" si="4"/>
        <v>0.999999999887869-0.0000114578581559041i</v>
      </c>
      <c r="AF26" s="24" t="str">
        <f t="shared" si="19"/>
        <v>6.85439806925784-0.00547788886510883i</v>
      </c>
      <c r="AG26" s="24">
        <f t="shared" si="5"/>
        <v>6.8544002581635119</v>
      </c>
      <c r="AH26" s="24">
        <f t="shared" si="12"/>
        <v>-7.9917851918459776E-4</v>
      </c>
      <c r="AI26" s="24">
        <f t="shared" si="0"/>
        <v>-4.5789556226792351E-2</v>
      </c>
      <c r="AJ26" s="24">
        <f t="shared" si="13"/>
        <v>16.719389223459423</v>
      </c>
      <c r="AK26" s="24"/>
      <c r="AL26" s="24" t="str">
        <f t="shared" si="14"/>
        <v>0.987183347726972-0.112482824011223i</v>
      </c>
      <c r="AM26" s="24" t="str">
        <f t="shared" si="15"/>
        <v>1.00000000539499+0.00061640988779171i</v>
      </c>
      <c r="AN26" s="24" t="str">
        <f t="shared" si="16"/>
        <v>-331.884946372944+37.6088122905349i</v>
      </c>
      <c r="AO26" s="24">
        <f t="shared" si="6"/>
        <v>334.00904237891018</v>
      </c>
      <c r="AP26" s="24">
        <f t="shared" si="7"/>
        <v>3.0287551732274718</v>
      </c>
      <c r="AQ26" s="24">
        <f t="shared" si="8"/>
        <v>173.53488860434868</v>
      </c>
      <c r="AR26" s="24">
        <f t="shared" si="9"/>
        <v>50.475164486058013</v>
      </c>
      <c r="AS26" s="24">
        <f t="shared" si="17"/>
        <v>67.194553709517436</v>
      </c>
      <c r="AT26" s="24">
        <f t="shared" si="18"/>
        <v>173.48909904812189</v>
      </c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</row>
    <row r="27" spans="1:71" s="1" customFormat="1">
      <c r="A27" s="9" t="s">
        <v>18</v>
      </c>
      <c r="B27" s="12"/>
      <c r="C27" s="12"/>
      <c r="D27" s="13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24"/>
      <c r="T27" s="24"/>
      <c r="U27" s="24"/>
      <c r="V27" s="24"/>
      <c r="W27" s="24"/>
      <c r="X27" s="24"/>
      <c r="Y27" s="24">
        <v>25</v>
      </c>
      <c r="Z27" s="24">
        <f t="shared" si="1"/>
        <v>4.6537477055250784</v>
      </c>
      <c r="AA27" s="24" t="str">
        <f t="shared" si="10"/>
        <v>29.2403592066759i</v>
      </c>
      <c r="AB27" s="24">
        <f t="shared" si="2"/>
        <v>7.8571428571428568</v>
      </c>
      <c r="AC27" s="24"/>
      <c r="AD27" s="24" t="str">
        <f t="shared" si="3"/>
        <v>0.999999294843157-0.000837691547796511i</v>
      </c>
      <c r="AE27" s="24" t="str">
        <f t="shared" si="4"/>
        <v>0.99999999987319-0.0000121847200341479i</v>
      </c>
      <c r="AF27" s="24" t="str">
        <f t="shared" si="19"/>
        <v>6.854397501597-0.00582539387527807i</v>
      </c>
      <c r="AG27" s="24">
        <f t="shared" si="5"/>
        <v>6.854399977030301</v>
      </c>
      <c r="AH27" s="24">
        <f t="shared" si="12"/>
        <v>-8.4987666259198416E-4</v>
      </c>
      <c r="AI27" s="24">
        <f t="shared" si="0"/>
        <v>-4.869434587318458E-2</v>
      </c>
      <c r="AJ27" s="24">
        <f t="shared" si="13"/>
        <v>16.719388867207673</v>
      </c>
      <c r="AK27" s="24"/>
      <c r="AL27" s="24" t="str">
        <f t="shared" si="14"/>
        <v>0.985529923640478-0.119418144557984i</v>
      </c>
      <c r="AM27" s="24" t="str">
        <f t="shared" si="15"/>
        <v>1.00000000610119+0.00065551360532146i</v>
      </c>
      <c r="AN27" s="24" t="str">
        <f t="shared" si="16"/>
        <v>-331.332121616499+39.9276478469836i</v>
      </c>
      <c r="AO27" s="24">
        <f t="shared" si="6"/>
        <v>333.72921939423168</v>
      </c>
      <c r="AP27" s="24">
        <f t="shared" si="7"/>
        <v>3.0216645263274535</v>
      </c>
      <c r="AQ27" s="24">
        <f t="shared" si="8"/>
        <v>173.12862446296012</v>
      </c>
      <c r="AR27" s="24">
        <f t="shared" si="9"/>
        <v>50.467884652492884</v>
      </c>
      <c r="AS27" s="24">
        <f t="shared" si="17"/>
        <v>67.187273519700554</v>
      </c>
      <c r="AT27" s="24">
        <f t="shared" si="18"/>
        <v>173.07993011708695</v>
      </c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</row>
    <row r="28" spans="1:71" s="1" customFormat="1">
      <c r="A28" s="10" t="s">
        <v>87</v>
      </c>
      <c r="B28" s="4">
        <v>0.3</v>
      </c>
      <c r="C28" s="21" t="s">
        <v>101</v>
      </c>
      <c r="D28" s="13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36"/>
      <c r="T28" s="24"/>
      <c r="U28" s="24"/>
      <c r="V28" s="24"/>
      <c r="W28" s="24"/>
      <c r="X28" s="24"/>
      <c r="Y28" s="24">
        <v>26</v>
      </c>
      <c r="Z28" s="24">
        <f t="shared" si="1"/>
        <v>4.9489714509035139</v>
      </c>
      <c r="AA28" s="24" t="str">
        <f t="shared" si="10"/>
        <v>31.0953047059682i</v>
      </c>
      <c r="AB28" s="24">
        <f t="shared" si="2"/>
        <v>7.8571428571428568</v>
      </c>
      <c r="AC28" s="24"/>
      <c r="AD28" s="24" t="str">
        <f t="shared" si="3"/>
        <v>0.999999202538159-0.000890832815291206i</v>
      </c>
      <c r="AE28" s="24" t="str">
        <f t="shared" si="4"/>
        <v>0.99999999985659-0.0000129576924666174i</v>
      </c>
      <c r="AF28" s="24" t="str">
        <f t="shared" si="19"/>
        <v>6.85439685962945-0.00619494375906291i</v>
      </c>
      <c r="AG28" s="24">
        <f t="shared" si="5"/>
        <v>6.8543996590967939</v>
      </c>
      <c r="AH28" s="24">
        <f t="shared" si="12"/>
        <v>-9.0379098251429119E-4</v>
      </c>
      <c r="AI28" s="24">
        <f t="shared" si="0"/>
        <v>-5.1783408860050874E-2</v>
      </c>
      <c r="AJ28" s="24">
        <f t="shared" si="13"/>
        <v>16.719388464322602</v>
      </c>
      <c r="AK28" s="24"/>
      <c r="AL28" s="24" t="str">
        <f t="shared" si="14"/>
        <v>0.983666727193158-0.126753686361618i</v>
      </c>
      <c r="AM28" s="24" t="str">
        <f t="shared" si="15"/>
        <v>1.00000000689984+0.000697097978587544i</v>
      </c>
      <c r="AN28" s="24" t="str">
        <f t="shared" si="16"/>
        <v>-330.709159165058+42.3802980288356i</v>
      </c>
      <c r="AO28" s="24">
        <f t="shared" si="6"/>
        <v>333.41361342433601</v>
      </c>
      <c r="AP28" s="24">
        <f t="shared" si="7"/>
        <v>3.0141375726240542</v>
      </c>
      <c r="AQ28" s="24">
        <f t="shared" si="8"/>
        <v>172.69736178316495</v>
      </c>
      <c r="AR28" s="24">
        <f t="shared" si="9"/>
        <v>50.459666565770604</v>
      </c>
      <c r="AS28" s="24">
        <f t="shared" si="17"/>
        <v>67.17905503009321</v>
      </c>
      <c r="AT28" s="24">
        <f t="shared" si="18"/>
        <v>172.6455783743049</v>
      </c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</row>
    <row r="29" spans="1:71" s="1" customFormat="1">
      <c r="A29" s="8" t="s">
        <v>89</v>
      </c>
      <c r="B29" s="14">
        <f>B12/100*B5</f>
        <v>3.3000000000000002E-2</v>
      </c>
      <c r="C29" s="19" t="s">
        <v>100</v>
      </c>
      <c r="D29" s="13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24" t="s">
        <v>80</v>
      </c>
      <c r="T29" s="36">
        <f>D24</f>
        <v>4.7</v>
      </c>
      <c r="U29" s="24"/>
      <c r="V29" s="24"/>
      <c r="W29" s="24"/>
      <c r="X29" s="24"/>
      <c r="Y29" s="24">
        <v>27</v>
      </c>
      <c r="Z29" s="24">
        <f t="shared" si="1"/>
        <v>5.2629235557355134</v>
      </c>
      <c r="AA29" s="24" t="str">
        <f t="shared" si="10"/>
        <v>33.0679239582067i</v>
      </c>
      <c r="AB29" s="24">
        <f t="shared" si="2"/>
        <v>7.8571428571428568</v>
      </c>
      <c r="AC29" s="24"/>
      <c r="AD29" s="24" t="str">
        <f t="shared" si="3"/>
        <v>0.999999098150451-0.000947345233757717i</v>
      </c>
      <c r="AE29" s="24" t="str">
        <f t="shared" si="4"/>
        <v>0.999999999837818-0.000013779700607694i</v>
      </c>
      <c r="AF29" s="24" t="str">
        <f t="shared" si="19"/>
        <v>6.85439613362844-0.00658793697621022i</v>
      </c>
      <c r="AG29" s="24">
        <f t="shared" si="5"/>
        <v>6.8543992995458121</v>
      </c>
      <c r="AH29" s="24">
        <f t="shared" si="12"/>
        <v>-9.6112550532737344E-4</v>
      </c>
      <c r="AI29" s="24">
        <f t="shared" si="0"/>
        <v>-5.5068435037637024E-2</v>
      </c>
      <c r="AJ29" s="24">
        <f t="shared" si="13"/>
        <v>16.71938800869988</v>
      </c>
      <c r="AK29" s="24"/>
      <c r="AL29" s="24" t="str">
        <f t="shared" si="14"/>
        <v>0.981568108685437-0.134507087906666i</v>
      </c>
      <c r="AM29" s="24" t="str">
        <f t="shared" si="15"/>
        <v>1.00000000780303+0.000741320375054326i</v>
      </c>
      <c r="AN29" s="24" t="str">
        <f t="shared" si="16"/>
        <v>-330.007483004129+44.9726602932033i</v>
      </c>
      <c r="AO29" s="24">
        <f t="shared" si="6"/>
        <v>333.05777128385455</v>
      </c>
      <c r="AP29" s="24">
        <f t="shared" si="7"/>
        <v>3.006149309528686</v>
      </c>
      <c r="AQ29" s="24">
        <f t="shared" si="8"/>
        <v>172.23966802216026</v>
      </c>
      <c r="AR29" s="24">
        <f t="shared" si="9"/>
        <v>50.450391431307494</v>
      </c>
      <c r="AS29" s="24">
        <f t="shared" si="17"/>
        <v>67.169779440007375</v>
      </c>
      <c r="AT29" s="24">
        <f t="shared" si="18"/>
        <v>172.18459958712262</v>
      </c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</row>
    <row r="30" spans="1:71" s="1" customFormat="1">
      <c r="A30" s="8" t="s">
        <v>96</v>
      </c>
      <c r="B30" s="17">
        <f>(D24*B28^2)/(B5*B29*2)/1000000*1000000</f>
        <v>1.9421487603305787</v>
      </c>
      <c r="C30" s="19" t="s">
        <v>108</v>
      </c>
      <c r="D30" s="6">
        <v>20</v>
      </c>
      <c r="E30" s="13" t="s">
        <v>108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2" t="s">
        <v>81</v>
      </c>
      <c r="T30" s="24">
        <f>B5</f>
        <v>3.3</v>
      </c>
      <c r="U30" s="24"/>
      <c r="V30" s="24"/>
      <c r="W30" s="24"/>
      <c r="X30" s="24"/>
      <c r="Y30" s="24">
        <v>28</v>
      </c>
      <c r="Z30" s="24">
        <f t="shared" si="1"/>
        <v>5.5967921068647417</v>
      </c>
      <c r="AA30" s="24" t="str">
        <f t="shared" si="10"/>
        <v>35.1656819331912i</v>
      </c>
      <c r="AB30" s="24">
        <f t="shared" si="2"/>
        <v>7.8571428571428568</v>
      </c>
      <c r="AC30" s="24"/>
      <c r="AD30" s="24" t="str">
        <f t="shared" si="3"/>
        <v>0.999998980098413-0.00100744265837009i</v>
      </c>
      <c r="AE30" s="24" t="str">
        <f t="shared" si="4"/>
        <v>0.999999999816588-0.0000146538551772609i</v>
      </c>
      <c r="AF30" s="24" t="str">
        <f t="shared" si="19"/>
        <v>6.85439531259405-0.0070058606977692i</v>
      </c>
      <c r="AG30" s="24">
        <f t="shared" si="5"/>
        <v>6.8543988929296642</v>
      </c>
      <c r="AH30" s="24">
        <f t="shared" si="12"/>
        <v>-1.0220972002100454E-3</v>
      </c>
      <c r="AI30" s="24">
        <f t="shared" si="0"/>
        <v>-5.8561855824173517E-2</v>
      </c>
      <c r="AJ30" s="24">
        <f t="shared" si="13"/>
        <v>16.719387493436187</v>
      </c>
      <c r="AK30" s="24"/>
      <c r="AL30" s="24" t="str">
        <f t="shared" si="14"/>
        <v>0.979205544545272-0.142695641408802i</v>
      </c>
      <c r="AM30" s="24" t="str">
        <f t="shared" si="15"/>
        <v>1.00000000882444+0.000788348145239598i</v>
      </c>
      <c r="AN30" s="24" t="str">
        <f t="shared" si="16"/>
        <v>-329.217556235769+47.7105163219561i</v>
      </c>
      <c r="AO30" s="24">
        <f t="shared" si="6"/>
        <v>332.65671900858899</v>
      </c>
      <c r="AP30" s="24">
        <f t="shared" si="7"/>
        <v>2.997673668884425</v>
      </c>
      <c r="AQ30" s="24">
        <f t="shared" si="8"/>
        <v>171.75404958457457</v>
      </c>
      <c r="AR30" s="24">
        <f t="shared" si="9"/>
        <v>50.439925995225579</v>
      </c>
      <c r="AS30" s="24">
        <f t="shared" si="17"/>
        <v>67.159313488661766</v>
      </c>
      <c r="AT30" s="24">
        <f t="shared" si="18"/>
        <v>171.69548772875041</v>
      </c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</row>
    <row r="31" spans="1:71" s="1" customFormat="1">
      <c r="A31" s="8" t="s">
        <v>19</v>
      </c>
      <c r="B31" s="4">
        <v>7.0000000000000001E-3</v>
      </c>
      <c r="C31" s="37" t="s">
        <v>56</v>
      </c>
      <c r="D31" s="13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24"/>
      <c r="T31" s="24"/>
      <c r="U31" s="24"/>
      <c r="V31" s="24"/>
      <c r="W31" s="24"/>
      <c r="X31" s="24"/>
      <c r="Y31" s="24">
        <v>29</v>
      </c>
      <c r="Z31" s="24">
        <f t="shared" si="1"/>
        <v>5.9518405608089449</v>
      </c>
      <c r="AA31" s="24" t="str">
        <f t="shared" si="10"/>
        <v>37.3965171623503i</v>
      </c>
      <c r="AB31" s="24">
        <f t="shared" si="2"/>
        <v>7.8571428571428568</v>
      </c>
      <c r="AC31" s="24"/>
      <c r="AD31" s="24" t="str">
        <f t="shared" si="3"/>
        <v>0.999998846593389-0.00107135251012708i</v>
      </c>
      <c r="AE31" s="24" t="str">
        <f t="shared" si="4"/>
        <v>0.99999999979258-0.0000155834642325787i</v>
      </c>
      <c r="AF31" s="24" t="str">
        <f t="shared" si="19"/>
        <v>6.85439438408644-0.00745029643293987i</v>
      </c>
      <c r="AG31" s="24">
        <f t="shared" si="5"/>
        <v>6.8543984330875203</v>
      </c>
      <c r="AH31" s="24">
        <f t="shared" si="12"/>
        <v>-1.0869368001688729E-3</v>
      </c>
      <c r="AI31" s="24">
        <f t="shared" si="0"/>
        <v>-6.2276891247130962E-2</v>
      </c>
      <c r="AJ31" s="24">
        <f t="shared" si="13"/>
        <v>16.719386910724513</v>
      </c>
      <c r="AK31" s="24"/>
      <c r="AL31" s="24" t="str">
        <f t="shared" si="14"/>
        <v>0.97654738700085-0.151336010065885i</v>
      </c>
      <c r="AM31" s="24" t="str">
        <f t="shared" si="15"/>
        <v>1.00000000997956+0.00083835925601801i</v>
      </c>
      <c r="AN31" s="24" t="str">
        <f t="shared" si="16"/>
        <v>-328.328797381287+50.5994374842138i</v>
      </c>
      <c r="AO31" s="24">
        <f t="shared" si="6"/>
        <v>332.20491005336015</v>
      </c>
      <c r="AP31" s="24">
        <f t="shared" si="7"/>
        <v>2.9886835473119127</v>
      </c>
      <c r="AQ31" s="24">
        <f t="shared" si="8"/>
        <v>171.23895356116009</v>
      </c>
      <c r="AR31" s="24">
        <f t="shared" si="9"/>
        <v>50.428120942399097</v>
      </c>
      <c r="AS31" s="24">
        <f t="shared" si="17"/>
        <v>67.147507853123614</v>
      </c>
      <c r="AT31" s="24">
        <f t="shared" si="18"/>
        <v>171.17667666991295</v>
      </c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</row>
    <row r="32" spans="1:71" s="1" customFormat="1">
      <c r="A32" s="8" t="s">
        <v>20</v>
      </c>
      <c r="B32" s="14">
        <f>(B5*(1-B17))/(B7*D24)/8/D30/B7</f>
        <v>7.6299759780370624E-4</v>
      </c>
      <c r="C32" s="19" t="s">
        <v>100</v>
      </c>
      <c r="D32" s="13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24"/>
      <c r="T32" s="24"/>
      <c r="U32" s="24"/>
      <c r="V32" s="24"/>
      <c r="W32" s="24"/>
      <c r="X32" s="24"/>
      <c r="Y32" s="24">
        <v>30</v>
      </c>
      <c r="Z32" s="24">
        <f t="shared" si="1"/>
        <v>6.3294125250499764</v>
      </c>
      <c r="AA32" s="24" t="str">
        <f t="shared" si="10"/>
        <v>39.7688717804725i</v>
      </c>
      <c r="AB32" s="24">
        <f t="shared" si="2"/>
        <v>7.8571428571428568</v>
      </c>
      <c r="AC32" s="24"/>
      <c r="AD32" s="24" t="str">
        <f t="shared" si="3"/>
        <v>0.999998695612594-0.00113931663629955i</v>
      </c>
      <c r="AE32" s="24" t="str">
        <f t="shared" si="4"/>
        <v>0.999999999765429-0.0000165720456869439i</v>
      </c>
      <c r="AF32" s="24" t="str">
        <f t="shared" si="19"/>
        <v>6.85439333403744-0.00792292601271325i</v>
      </c>
      <c r="AG32" s="24">
        <f t="shared" si="5"/>
        <v>6.8543979130521375</v>
      </c>
      <c r="AH32" s="24">
        <f t="shared" si="12"/>
        <v>-1.1558896751390961E-3</v>
      </c>
      <c r="AI32" s="24">
        <f t="shared" si="0"/>
        <v>-6.6227599968218004E-2</v>
      </c>
      <c r="AJ32" s="24">
        <f t="shared" si="13"/>
        <v>16.719386251735962</v>
      </c>
      <c r="AK32" s="24"/>
      <c r="AL32" s="24" t="str">
        <f t="shared" si="14"/>
        <v>0.973558612267352-0.160443886600331i</v>
      </c>
      <c r="AM32" s="24" t="str">
        <f t="shared" si="15"/>
        <v>1.00000001128589+0.000891542964099889i</v>
      </c>
      <c r="AN32" s="24" t="str">
        <f t="shared" si="16"/>
        <v>-327.329496187113+53.6446706695064i</v>
      </c>
      <c r="AO32" s="24">
        <f t="shared" si="6"/>
        <v>331.69617086326014</v>
      </c>
      <c r="AP32" s="24">
        <f t="shared" si="7"/>
        <v>2.9791508557513993</v>
      </c>
      <c r="AQ32" s="24">
        <f t="shared" si="8"/>
        <v>170.69277056734268</v>
      </c>
      <c r="AR32" s="24">
        <f t="shared" si="9"/>
        <v>50.414809160111965</v>
      </c>
      <c r="AS32" s="24">
        <f t="shared" si="17"/>
        <v>67.134195411847926</v>
      </c>
      <c r="AT32" s="24">
        <f t="shared" si="18"/>
        <v>170.62654296737446</v>
      </c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</row>
    <row r="33" spans="1:71" s="1" customFormat="1">
      <c r="A33" s="8" t="s">
        <v>21</v>
      </c>
      <c r="B33" s="14">
        <f>(B5*(1-B17))/(B7*D24)*B31</f>
        <v>1.7091146190803021E-3</v>
      </c>
      <c r="C33" s="19" t="s">
        <v>100</v>
      </c>
      <c r="D33" s="13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24"/>
      <c r="T33" s="24"/>
      <c r="U33" s="24"/>
      <c r="V33" s="24"/>
      <c r="W33" s="24"/>
      <c r="X33" s="24"/>
      <c r="Y33" s="24">
        <v>31</v>
      </c>
      <c r="Z33" s="24">
        <f t="shared" si="1"/>
        <v>6.7309368426385694</v>
      </c>
      <c r="AA33" s="24" t="str">
        <f t="shared" si="10"/>
        <v>42.2917234732204i</v>
      </c>
      <c r="AB33" s="24">
        <f t="shared" si="2"/>
        <v>7.8571428571428568</v>
      </c>
      <c r="AC33" s="24"/>
      <c r="AD33" s="24" t="str">
        <f t="shared" si="3"/>
        <v>0.999998524868458-0.00121159222543463i</v>
      </c>
      <c r="AE33" s="24" t="str">
        <f t="shared" si="4"/>
        <v>0.999999999734724-0.0000176233406225042i</v>
      </c>
      <c r="AF33" s="24" t="str">
        <f t="shared" si="19"/>
        <v>6.85439214653734-0.00842553795290505i</v>
      </c>
      <c r="AG33" s="24">
        <f t="shared" si="5"/>
        <v>6.8543973249442258</v>
      </c>
      <c r="AH33" s="24">
        <f t="shared" si="12"/>
        <v>-1.2292167604638473E-3</v>
      </c>
      <c r="AI33" s="24">
        <f t="shared" si="0"/>
        <v>-7.0428932481321926E-2</v>
      </c>
      <c r="AJ33" s="24">
        <f t="shared" si="13"/>
        <v>16.719385506485875</v>
      </c>
      <c r="AK33" s="24"/>
      <c r="AL33" s="24" t="str">
        <f t="shared" si="14"/>
        <v>0.970200574200843-0.170033584980138i</v>
      </c>
      <c r="AM33" s="24" t="str">
        <f t="shared" si="15"/>
        <v>1.00000001276321+0.00094810053223413i</v>
      </c>
      <c r="AN33" s="24" t="str">
        <f t="shared" si="16"/>
        <v>-326.206731258615+56.8510017791215i</v>
      </c>
      <c r="AO33" s="24">
        <f t="shared" si="6"/>
        <v>331.1236444618836</v>
      </c>
      <c r="AP33" s="24">
        <f t="shared" si="7"/>
        <v>2.9690465920620248</v>
      </c>
      <c r="AQ33" s="24">
        <f t="shared" si="8"/>
        <v>170.11383890285427</v>
      </c>
      <c r="AR33" s="24">
        <f t="shared" si="9"/>
        <v>50.399803868299536</v>
      </c>
      <c r="AS33" s="24">
        <f t="shared" si="17"/>
        <v>67.119189374785407</v>
      </c>
      <c r="AT33" s="24">
        <f t="shared" si="18"/>
        <v>170.04340997037295</v>
      </c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</row>
    <row r="34" spans="1:71" s="1" customFormat="1">
      <c r="A34" s="8"/>
      <c r="B34" s="12"/>
      <c r="C34" s="19"/>
      <c r="D34" s="13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24"/>
      <c r="S34" s="24"/>
      <c r="T34" s="24"/>
      <c r="U34" s="24"/>
      <c r="V34" s="24"/>
      <c r="W34" s="24"/>
      <c r="X34" s="24"/>
      <c r="Y34" s="24">
        <v>32</v>
      </c>
      <c r="Z34" s="24">
        <f t="shared" si="1"/>
        <v>7.1579329993555039</v>
      </c>
      <c r="AA34" s="24" t="str">
        <f t="shared" si="10"/>
        <v>44.9746194513264i</v>
      </c>
      <c r="AB34" s="24">
        <f t="shared" si="2"/>
        <v>7.8571428571428568</v>
      </c>
      <c r="AC34" s="24"/>
      <c r="AD34" s="24" t="str">
        <f t="shared" si="3"/>
        <v>0.999998331773975-0.0012884527803717i</v>
      </c>
      <c r="AE34" s="24" t="str">
        <f t="shared" si="4"/>
        <v>0.999999999699999-0.0000187413274476102i</v>
      </c>
      <c r="AF34" s="24" t="str">
        <f t="shared" si="19"/>
        <v>6.85439080359389-0.00896003422060942i</v>
      </c>
      <c r="AG34" s="24">
        <f t="shared" si="5"/>
        <v>6.8543966598531281</v>
      </c>
      <c r="AH34" s="24">
        <f t="shared" si="12"/>
        <v>-1.3071955442625662E-3</v>
      </c>
      <c r="AI34" s="24">
        <f t="shared" si="0"/>
        <v>-7.489678768455163E-2</v>
      </c>
      <c r="AJ34" s="24">
        <f t="shared" si="13"/>
        <v>16.719384663682654</v>
      </c>
      <c r="AK34" s="24"/>
      <c r="AL34" s="24" t="str">
        <f t="shared" si="14"/>
        <v>0.966430772648761-0.180117556962889i</v>
      </c>
      <c r="AM34" s="24" t="str">
        <f t="shared" si="15"/>
        <v>1.00000001443391+0.00100824599084545i</v>
      </c>
      <c r="AN34" s="24" t="str">
        <f t="shared" si="16"/>
        <v>-324.946292607758+60.2225940819073i</v>
      </c>
      <c r="AO34" s="24">
        <f t="shared" si="6"/>
        <v>330.47973299051313</v>
      </c>
      <c r="AP34" s="24">
        <f t="shared" si="7"/>
        <v>2.9583409410475121</v>
      </c>
      <c r="AQ34" s="24">
        <f t="shared" si="8"/>
        <v>169.50045028278271</v>
      </c>
      <c r="AR34" s="24">
        <f t="shared" si="9"/>
        <v>50.382896621651298</v>
      </c>
      <c r="AS34" s="24">
        <f t="shared" si="17"/>
        <v>67.102281285333959</v>
      </c>
      <c r="AT34" s="24">
        <f t="shared" si="18"/>
        <v>169.42555349509814</v>
      </c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</row>
    <row r="35" spans="1:71" s="1" customFormat="1">
      <c r="A35" s="11" t="s">
        <v>22</v>
      </c>
      <c r="B35" s="12"/>
      <c r="C35" s="12"/>
      <c r="D35" s="13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24"/>
      <c r="S35" s="24"/>
      <c r="T35" s="24"/>
      <c r="U35" s="24"/>
      <c r="V35" s="24"/>
      <c r="W35" s="24"/>
      <c r="X35" s="24"/>
      <c r="Y35" s="24">
        <v>33</v>
      </c>
      <c r="Z35" s="24">
        <f t="shared" si="1"/>
        <v>7.6120168738914558</v>
      </c>
      <c r="AA35" s="24" t="str">
        <f t="shared" si="10"/>
        <v>47.8277125800379i</v>
      </c>
      <c r="AB35" s="24">
        <f t="shared" si="2"/>
        <v>7.8571428571428568</v>
      </c>
      <c r="AC35" s="24"/>
      <c r="AD35" s="24" t="str">
        <f t="shared" si="3"/>
        <v>0.999998113403504-0.00137018915294369i</v>
      </c>
      <c r="AE35" s="24" t="str">
        <f t="shared" si="4"/>
        <v>0.999999999660729-0.0000199302369522785i</v>
      </c>
      <c r="AF35" s="24" t="str">
        <f t="shared" si="19"/>
        <v>6.8543892848597-0.00952843742961886i</v>
      </c>
      <c r="AG35" s="24">
        <f t="shared" si="5"/>
        <v>6.8543959077018091</v>
      </c>
      <c r="AH35" s="24">
        <f t="shared" si="12"/>
        <v>-1.3901211174223978E-3</v>
      </c>
      <c r="AI35" s="24">
        <f t="shared" si="0"/>
        <v>-7.9648073040313322E-2</v>
      </c>
      <c r="AJ35" s="24">
        <f t="shared" si="13"/>
        <v>16.719383710556645</v>
      </c>
      <c r="AK35" s="24"/>
      <c r="AL35" s="24" t="str">
        <f t="shared" si="14"/>
        <v>0.9622026484464-0.190705825210278i</v>
      </c>
      <c r="AM35" s="24" t="str">
        <f t="shared" si="15"/>
        <v>1.00000001632331+0.0010722069479882i</v>
      </c>
      <c r="AN35" s="24" t="str">
        <f t="shared" si="16"/>
        <v>-323.532613109872+63.7627986753069i</v>
      </c>
      <c r="AO35" s="24">
        <f t="shared" si="6"/>
        <v>329.75604049146671</v>
      </c>
      <c r="AP35" s="24">
        <f t="shared" si="7"/>
        <v>2.9470034067904805</v>
      </c>
      <c r="AQ35" s="24">
        <f t="shared" si="8"/>
        <v>168.85085741976982</v>
      </c>
      <c r="AR35" s="24">
        <f t="shared" si="9"/>
        <v>50.363855194486895</v>
      </c>
      <c r="AS35" s="24">
        <f t="shared" si="17"/>
        <v>67.083238905043544</v>
      </c>
      <c r="AT35" s="24">
        <f t="shared" si="18"/>
        <v>168.77120934672951</v>
      </c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</row>
    <row r="36" spans="1:71" s="1" customFormat="1">
      <c r="A36" s="8" t="s">
        <v>90</v>
      </c>
      <c r="B36" s="13" t="s">
        <v>82</v>
      </c>
      <c r="C36" s="37" t="s">
        <v>56</v>
      </c>
      <c r="D36" s="6">
        <v>31.6</v>
      </c>
      <c r="E36" s="37" t="s">
        <v>56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24"/>
      <c r="S36" s="24"/>
      <c r="T36" s="24"/>
      <c r="U36" s="24"/>
      <c r="V36" s="24"/>
      <c r="W36" s="24"/>
      <c r="X36" s="24"/>
      <c r="Y36" s="24">
        <v>34</v>
      </c>
      <c r="Z36" s="24">
        <f t="shared" si="1"/>
        <v>8.0949068528058863</v>
      </c>
      <c r="AA36" s="24" t="str">
        <f t="shared" si="10"/>
        <v>50.8617998005373i</v>
      </c>
      <c r="AB36" s="24">
        <f t="shared" si="2"/>
        <v>7.8571428571428568</v>
      </c>
      <c r="AC36" s="24"/>
      <c r="AD36" s="24" t="str">
        <f t="shared" si="3"/>
        <v>0.999997866448441-0.00145711064426841i</v>
      </c>
      <c r="AE36" s="24" t="str">
        <f t="shared" si="4"/>
        <v>0.999999999616317-0.0000211945683187411i</v>
      </c>
      <c r="AF36" s="24" t="str">
        <f t="shared" si="19"/>
        <v>6.8543875673239-0.0101328984919638i</v>
      </c>
      <c r="AG36" s="24">
        <f t="shared" si="5"/>
        <v>6.8543950570941199</v>
      </c>
      <c r="AH36" s="24">
        <f t="shared" ref="AH36:AH67" si="20">IMARGUMENT(AF36)</f>
        <v>-1.478307290182244E-3</v>
      </c>
      <c r="AI36" s="24">
        <f t="shared" si="0"/>
        <v>-8.4700768550864058E-2</v>
      </c>
      <c r="AJ36" s="24">
        <f t="shared" ref="AJ36:AJ67" si="21">20*LOG(AG36,10)</f>
        <v>16.719382632666623</v>
      </c>
      <c r="AK36" s="24"/>
      <c r="AL36" s="24" t="str">
        <f t="shared" ref="AL36:AL67" si="22">IMDIV(1,IMSUM(1,IMDIV(AA36,wp2e)))</f>
        <v>0.957465420190806-0.201805325325298i</v>
      </c>
      <c r="AM36" s="24" t="str">
        <f t="shared" ref="AM36:AM67" si="23">IMDIV(IMSUM(1,IMDIV(AA36,wz2e)),IMSUM(1,IMDIV(AA36,wp1e)))</f>
        <v>1.00000001846004+0.00114022545068208i</v>
      </c>
      <c r="AN36" s="24" t="str">
        <f t="shared" ref="AN36:AN67" si="24">IMPRODUCT($AK$2,AL36,AM36)</f>
        <v>-321.948713928767+67.4739344945542i</v>
      </c>
      <c r="AO36" s="24">
        <f t="shared" si="6"/>
        <v>328.94331766516012</v>
      </c>
      <c r="AP36" s="24">
        <f t="shared" si="7"/>
        <v>2.9350029826698392</v>
      </c>
      <c r="AQ36" s="24">
        <f t="shared" si="8"/>
        <v>168.16328376529009</v>
      </c>
      <c r="AR36" s="24">
        <f t="shared" si="9"/>
        <v>50.342421366533692</v>
      </c>
      <c r="AS36" s="24">
        <f t="shared" ref="AS36:AS67" si="25">AR36+AJ36</f>
        <v>67.061803999200322</v>
      </c>
      <c r="AT36" s="24">
        <f t="shared" ref="AT36:AT67" si="26">AQ36+AI36</f>
        <v>168.07858299673921</v>
      </c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</row>
    <row r="37" spans="1:71" s="1" customFormat="1">
      <c r="A37" s="8" t="s">
        <v>91</v>
      </c>
      <c r="B37" s="42">
        <f>D36*(B5/0.8-1)</f>
        <v>98.749999999999972</v>
      </c>
      <c r="C37" s="37" t="s">
        <v>56</v>
      </c>
      <c r="D37" s="6">
        <v>100</v>
      </c>
      <c r="E37" s="37" t="s">
        <v>56</v>
      </c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24"/>
      <c r="S37" s="24"/>
      <c r="T37" s="24"/>
      <c r="U37" s="24"/>
      <c r="V37" s="24"/>
      <c r="W37" s="24"/>
      <c r="X37" s="24"/>
      <c r="Y37" s="24">
        <v>35</v>
      </c>
      <c r="Z37" s="24">
        <f t="shared" si="1"/>
        <v>8.6084303334057619</v>
      </c>
      <c r="AA37" s="24" t="str">
        <f t="shared" si="10"/>
        <v>54.0883629887341i</v>
      </c>
      <c r="AB37" s="24">
        <f t="shared" si="2"/>
        <v>7.8571428571428568</v>
      </c>
      <c r="AC37" s="24"/>
      <c r="AD37" s="24" t="str">
        <f t="shared" si="3"/>
        <v>0.999997587167092-0.00154954617478104i</v>
      </c>
      <c r="AE37" s="24" t="str">
        <f t="shared" si="4"/>
        <v>0.999999999566094-0.00002253910614767i</v>
      </c>
      <c r="AF37" s="24" t="str">
        <f t="shared" si="19"/>
        <v>6.85438562496361-0.0107757047544396i</v>
      </c>
      <c r="AG37" s="24">
        <f t="shared" si="5"/>
        <v>6.8543940951422346</v>
      </c>
      <c r="AH37" s="24">
        <f t="shared" si="20"/>
        <v>-1.5720877795308318E-3</v>
      </c>
      <c r="AI37" s="24">
        <f t="shared" si="0"/>
        <v>-9.0073994791209713E-2</v>
      </c>
      <c r="AJ37" s="24">
        <f t="shared" si="21"/>
        <v>16.719381413681077</v>
      </c>
      <c r="AK37" s="24"/>
      <c r="AL37" s="24" t="str">
        <f t="shared" si="22"/>
        <v>0.952163981554917-0.213419150463132i</v>
      </c>
      <c r="AM37" s="24" t="str">
        <f t="shared" si="23"/>
        <v>1.00000002087646+0.00121255890088887i</v>
      </c>
      <c r="AN37" s="24" t="str">
        <f t="shared" si="24"/>
        <v>-320.176170183559+71.3570357472452i</v>
      </c>
      <c r="AO37" s="24">
        <f t="shared" si="6"/>
        <v>328.03141084970048</v>
      </c>
      <c r="AP37" s="24">
        <f t="shared" si="7"/>
        <v>2.9223083648704309</v>
      </c>
      <c r="AQ37" s="24">
        <f t="shared" si="8"/>
        <v>167.43593574285234</v>
      </c>
      <c r="AR37" s="24">
        <f t="shared" si="9"/>
        <v>50.318308636766993</v>
      </c>
      <c r="AS37" s="24">
        <f t="shared" si="25"/>
        <v>67.037690050448077</v>
      </c>
      <c r="AT37" s="24">
        <f t="shared" si="26"/>
        <v>167.34586174806114</v>
      </c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</row>
    <row r="38" spans="1:71" s="1" customFormat="1">
      <c r="A38" s="8" t="s">
        <v>23</v>
      </c>
      <c r="B38" s="15">
        <f>D37*0.8/D36+0.8</f>
        <v>3.3316455696202532</v>
      </c>
      <c r="C38" s="19" t="s">
        <v>100</v>
      </c>
      <c r="D38" s="13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24"/>
      <c r="S38" s="24"/>
      <c r="T38" s="24"/>
      <c r="U38" s="24"/>
      <c r="V38" s="24"/>
      <c r="W38" s="24"/>
      <c r="X38" s="24"/>
      <c r="Y38" s="24">
        <v>36</v>
      </c>
      <c r="Z38" s="24">
        <f t="shared" si="1"/>
        <v>9.1545306391529166</v>
      </c>
      <c r="AA38" s="24" t="str">
        <f t="shared" si="10"/>
        <v>57.519612406051i</v>
      </c>
      <c r="AB38" s="24">
        <f t="shared" si="2"/>
        <v>7.8571428571428568</v>
      </c>
      <c r="AC38" s="24"/>
      <c r="AD38" s="24" t="str">
        <f t="shared" si="3"/>
        <v>0.999997271327988-0.00164784552841981i</v>
      </c>
      <c r="AE38" s="24" t="str">
        <f t="shared" si="4"/>
        <v>0.999999999509295-0.0000239689385645076i</v>
      </c>
      <c r="AF38" s="24" t="str">
        <f t="shared" si="19"/>
        <v>6.85438342834955-0.0114592886508022i</v>
      </c>
      <c r="AG38" s="24">
        <f t="shared" si="5"/>
        <v>6.8543930072712724</v>
      </c>
      <c r="AH38" s="24">
        <f t="shared" si="20"/>
        <v>-1.6718174719068521E-3</v>
      </c>
      <c r="AI38" s="24">
        <f t="shared" si="0"/>
        <v>-9.5788085256493696E-2</v>
      </c>
      <c r="AJ38" s="24">
        <f t="shared" si="21"/>
        <v>16.719380035130655</v>
      </c>
      <c r="AK38" s="24"/>
      <c r="AL38" s="24" t="str">
        <f t="shared" si="22"/>
        <v>0.946238881924985-0.225545694391046i</v>
      </c>
      <c r="AM38" s="24" t="str">
        <f t="shared" si="23"/>
        <v>1.00000002360919+0.00128948102959699i</v>
      </c>
      <c r="AN38" s="24" t="str">
        <f t="shared" si="24"/>
        <v>-318.195104474776+75.4115653941904i</v>
      </c>
      <c r="AO38" s="24">
        <f t="shared" si="6"/>
        <v>327.00921807636536</v>
      </c>
      <c r="AP38" s="24">
        <f t="shared" si="7"/>
        <v>2.9088882155218152</v>
      </c>
      <c r="AQ38" s="24">
        <f t="shared" si="8"/>
        <v>166.66701782474144</v>
      </c>
      <c r="AR38" s="24">
        <f t="shared" si="9"/>
        <v>50.29119990355882</v>
      </c>
      <c r="AS38" s="24">
        <f t="shared" si="25"/>
        <v>67.010579938689474</v>
      </c>
      <c r="AT38" s="24">
        <f t="shared" si="26"/>
        <v>166.57122973948495</v>
      </c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</row>
    <row r="39" spans="1:71" s="1" customFormat="1">
      <c r="A39" s="8"/>
      <c r="B39" s="12"/>
      <c r="C39" s="19"/>
      <c r="D39" s="13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24"/>
      <c r="S39" s="24"/>
      <c r="T39" s="24"/>
      <c r="U39" s="24"/>
      <c r="V39" s="24"/>
      <c r="W39" s="24"/>
      <c r="X39" s="24"/>
      <c r="Y39" s="24">
        <v>37</v>
      </c>
      <c r="Z39" s="24">
        <f t="shared" si="1"/>
        <v>9.7352743737700074</v>
      </c>
      <c r="AA39" s="24" t="str">
        <f t="shared" si="10"/>
        <v>61.1685329066337i</v>
      </c>
      <c r="AB39" s="24">
        <f t="shared" si="2"/>
        <v>7.8571428571428568</v>
      </c>
      <c r="AC39" s="24"/>
      <c r="AD39" s="24" t="str">
        <f t="shared" si="3"/>
        <v>0.999996914145767-0.00175238067565474i</v>
      </c>
      <c r="AE39" s="24" t="str">
        <f t="shared" si="4"/>
        <v>0.999999999445063-0.000025489476474425i</v>
      </c>
      <c r="AF39" s="24" t="str">
        <f t="shared" si="19"/>
        <v>6.85438094420026-0.0121862369022464i</v>
      </c>
      <c r="AG39" s="24">
        <f t="shared" si="5"/>
        <v>6.8543917769985612</v>
      </c>
      <c r="AH39" s="24">
        <f t="shared" si="20"/>
        <v>-1.7778737659734259E-3</v>
      </c>
      <c r="AI39" s="24">
        <f t="shared" si="0"/>
        <v>-0.10186466329730673</v>
      </c>
      <c r="AJ39" s="24">
        <f t="shared" si="21"/>
        <v>16.71937847612843</v>
      </c>
      <c r="AK39" s="24"/>
      <c r="AL39" s="24" t="str">
        <f t="shared" si="22"/>
        <v>0.939626417423225-0.238177692287965i</v>
      </c>
      <c r="AM39" s="24" t="str">
        <f t="shared" si="23"/>
        <v>1.00000002669963+0.00137128293269974i</v>
      </c>
      <c r="AN39" s="24" t="str">
        <f t="shared" si="24"/>
        <v>-315.984217317905+79.6350944393775i</v>
      </c>
      <c r="AO39" s="24">
        <f t="shared" si="6"/>
        <v>325.86465573973743</v>
      </c>
      <c r="AP39" s="24">
        <f t="shared" si="7"/>
        <v>2.8947114817588155</v>
      </c>
      <c r="AQ39" s="24">
        <f t="shared" si="8"/>
        <v>165.8547508128409</v>
      </c>
      <c r="AR39" s="24">
        <f t="shared" si="9"/>
        <v>50.260745162686582</v>
      </c>
      <c r="AS39" s="24">
        <f t="shared" si="25"/>
        <v>66.980123638815016</v>
      </c>
      <c r="AT39" s="24">
        <f t="shared" si="26"/>
        <v>165.7528861495436</v>
      </c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</row>
    <row r="40" spans="1:71">
      <c r="A40" s="11" t="s">
        <v>24</v>
      </c>
      <c r="B40" s="12"/>
      <c r="D40" s="13"/>
      <c r="Y40" s="24">
        <v>38</v>
      </c>
      <c r="Z40" s="24">
        <f t="shared" si="1"/>
        <v>10.352859241875105</v>
      </c>
      <c r="AA40" s="24" t="str">
        <f t="shared" si="10"/>
        <v>65.0489330758481i</v>
      </c>
      <c r="AB40" s="24">
        <f t="shared" si="2"/>
        <v>7.8571428571428568</v>
      </c>
      <c r="AD40" s="24" t="str">
        <f t="shared" si="3"/>
        <v>0.999996510208682-0.0018635471803439i</v>
      </c>
      <c r="AE40" s="24" t="str">
        <f t="shared" si="4"/>
        <v>0.999999999372421-0.0000271064740387714i</v>
      </c>
      <c r="AF40" s="24" t="str">
        <f t="shared" si="19"/>
        <v>6.85437813487783-0.01295930030083i</v>
      </c>
      <c r="AG40" s="24">
        <f t="shared" si="5"/>
        <v>6.8543903856838764</v>
      </c>
      <c r="AH40" s="24">
        <f t="shared" si="20"/>
        <v>-1.8906580005411764E-3</v>
      </c>
      <c r="AI40" s="24">
        <f t="shared" si="0"/>
        <v>-0.10832672393365232</v>
      </c>
      <c r="AJ40" s="24">
        <f t="shared" si="21"/>
        <v>16.719376713053393</v>
      </c>
      <c r="AL40" s="24" t="str">
        <f t="shared" si="22"/>
        <v>0.932258863690123-0.251301163469897i</v>
      </c>
      <c r="AM40" s="24" t="str">
        <f t="shared" si="23"/>
        <v>1.00000003019461+0.00145827417258749i</v>
      </c>
      <c r="AN40" s="24" t="str">
        <f t="shared" si="24"/>
        <v>-313.520864974502+84.0229484287041i</v>
      </c>
      <c r="AO40" s="24">
        <f t="shared" si="6"/>
        <v>324.58464017419641</v>
      </c>
      <c r="AP40" s="24">
        <f t="shared" si="7"/>
        <v>2.8797477768980699</v>
      </c>
      <c r="AQ40" s="24">
        <f t="shared" si="8"/>
        <v>164.9973936784408</v>
      </c>
      <c r="AR40" s="24">
        <f t="shared" si="9"/>
        <v>50.226559290369856</v>
      </c>
      <c r="AS40" s="24">
        <f t="shared" si="25"/>
        <v>66.945936003423242</v>
      </c>
      <c r="AT40" s="24">
        <f t="shared" si="26"/>
        <v>164.88906695450714</v>
      </c>
    </row>
    <row r="41" spans="1:71" s="1" customFormat="1">
      <c r="A41" s="8" t="s">
        <v>8</v>
      </c>
      <c r="B41" s="4">
        <v>70000</v>
      </c>
      <c r="C41" s="19" t="s">
        <v>102</v>
      </c>
      <c r="D41" s="13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24"/>
      <c r="S41" s="24"/>
      <c r="T41" s="24"/>
      <c r="U41" s="24"/>
      <c r="V41" s="24"/>
      <c r="W41" s="24"/>
      <c r="X41" s="24"/>
      <c r="Y41" s="24">
        <v>39</v>
      </c>
      <c r="Z41" s="24">
        <f t="shared" si="1"/>
        <v>11.009622365740512</v>
      </c>
      <c r="AA41" s="24" t="str">
        <f t="shared" si="10"/>
        <v>69.1754974860165i</v>
      </c>
      <c r="AB41" s="24">
        <f t="shared" si="2"/>
        <v>7.8571428571428568</v>
      </c>
      <c r="AC41" s="24"/>
      <c r="AD41" s="24" t="str">
        <f t="shared" si="3"/>
        <v>0.999996053396604-0.00198176569571381i</v>
      </c>
      <c r="AE41" s="24" t="str">
        <f t="shared" si="4"/>
        <v>0.999999999290271-0.0000288260504505073i</v>
      </c>
      <c r="AF41" s="24" t="str">
        <f t="shared" si="19"/>
        <v>6.85437495781768-0.0137814041126753i</v>
      </c>
      <c r="AG41" s="24">
        <f t="shared" si="5"/>
        <v>6.854388812247044</v>
      </c>
      <c r="AH41" s="24">
        <f t="shared" si="20"/>
        <v>-2.0105969730338704E-3</v>
      </c>
      <c r="AI41" s="24">
        <f t="shared" si="0"/>
        <v>-0.11519872085661936</v>
      </c>
      <c r="AJ41" s="24">
        <f t="shared" si="21"/>
        <v>16.719374719192601</v>
      </c>
      <c r="AK41" s="24"/>
      <c r="AL41" s="24" t="str">
        <f t="shared" si="22"/>
        <v>0.92406488579833-0.264894266893131i</v>
      </c>
      <c r="AM41" s="24" t="str">
        <f t="shared" si="23"/>
        <v>1.00000003414709+0.00155078394962242i</v>
      </c>
      <c r="AN41" s="24" t="str">
        <f t="shared" si="24"/>
        <v>-310.781196507499+88.5678247858311i</v>
      </c>
      <c r="AO41" s="24">
        <f t="shared" si="6"/>
        <v>323.15508922176423</v>
      </c>
      <c r="AP41" s="24">
        <f t="shared" si="7"/>
        <v>2.8639678294724162</v>
      </c>
      <c r="AQ41" s="24">
        <f t="shared" si="8"/>
        <v>164.09326929001253</v>
      </c>
      <c r="AR41" s="24">
        <f t="shared" si="9"/>
        <v>50.188219996355969</v>
      </c>
      <c r="AS41" s="24">
        <f t="shared" si="25"/>
        <v>66.907594715548569</v>
      </c>
      <c r="AT41" s="24">
        <f t="shared" si="26"/>
        <v>163.9780705691559</v>
      </c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</row>
    <row r="42" spans="1:71">
      <c r="A42" s="8" t="s">
        <v>16</v>
      </c>
      <c r="B42" s="16">
        <v>1400000</v>
      </c>
      <c r="C42" s="37" t="s">
        <v>56</v>
      </c>
      <c r="D42" s="13"/>
      <c r="Y42" s="24">
        <v>40</v>
      </c>
      <c r="Z42" s="24">
        <f t="shared" si="1"/>
        <v>11.708049129648925</v>
      </c>
      <c r="AA42" s="24" t="str">
        <f t="shared" si="10"/>
        <v>73.5638422671469i</v>
      </c>
      <c r="AB42" s="24">
        <f t="shared" si="2"/>
        <v>7.8571428571428568</v>
      </c>
      <c r="AD42" s="24" t="str">
        <f t="shared" si="3"/>
        <v>0.999995536788302-0.00210748355509323i</v>
      </c>
      <c r="AE42" s="24" t="str">
        <f t="shared" si="4"/>
        <v>0.999999999197366-0.0000306547130910224i</v>
      </c>
      <c r="AF42" s="24" t="str">
        <f t="shared" si="19"/>
        <v>6.85437136488366-0.0146556591400961i</v>
      </c>
      <c r="AG42" s="24">
        <f t="shared" si="5"/>
        <v>6.8543870328485186</v>
      </c>
      <c r="AH42" s="24">
        <f t="shared" si="20"/>
        <v>-2.1381445542328101E-3</v>
      </c>
      <c r="AI42" s="24">
        <f t="shared" si="0"/>
        <v>-0.12250665894642077</v>
      </c>
      <c r="AJ42" s="24">
        <f t="shared" si="21"/>
        <v>16.719372464336384</v>
      </c>
      <c r="AL42" s="24" t="str">
        <f t="shared" si="22"/>
        <v>0.91497016385207-0.278926088978041i</v>
      </c>
      <c r="AM42" s="24" t="str">
        <f t="shared" si="23"/>
        <v>1.00000003861695+0.00164916234792914i</v>
      </c>
      <c r="AN42" s="24" t="str">
        <f t="shared" si="24"/>
        <v>-307.740362951271+93.2593875193336i</v>
      </c>
      <c r="AO42" s="24">
        <f t="shared" si="6"/>
        <v>321.5609496656291</v>
      </c>
      <c r="AP42" s="24">
        <f t="shared" si="7"/>
        <v>2.8473440049413403</v>
      </c>
      <c r="AQ42" s="24">
        <f t="shared" si="8"/>
        <v>163.14079430501582</v>
      </c>
      <c r="AR42" s="24">
        <f t="shared" si="9"/>
        <v>50.145266051872625</v>
      </c>
      <c r="AS42" s="24">
        <f t="shared" si="25"/>
        <v>66.864638516209013</v>
      </c>
      <c r="AT42" s="24">
        <f t="shared" si="26"/>
        <v>163.01828764606938</v>
      </c>
    </row>
    <row r="43" spans="1:71" s="1" customFormat="1">
      <c r="A43" s="8" t="s">
        <v>28</v>
      </c>
      <c r="B43" s="4">
        <v>7000</v>
      </c>
      <c r="C43" s="19" t="s">
        <v>102</v>
      </c>
      <c r="D43" s="13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24"/>
      <c r="S43" s="24"/>
      <c r="T43" s="24"/>
      <c r="U43" s="24"/>
      <c r="V43" s="24"/>
      <c r="W43" s="24"/>
      <c r="X43" s="24"/>
      <c r="Y43" s="24">
        <v>41</v>
      </c>
      <c r="Z43" s="24">
        <f t="shared" si="1"/>
        <v>12.4507825853165</v>
      </c>
      <c r="AA43" s="24" t="str">
        <f t="shared" si="10"/>
        <v>78.2305742029481i</v>
      </c>
      <c r="AB43" s="24">
        <f t="shared" si="2"/>
        <v>7.8571428571428568</v>
      </c>
      <c r="AC43" s="24"/>
      <c r="AD43" s="24" t="str">
        <f t="shared" si="3"/>
        <v>0.99999495255659-0.00224117646338088i</v>
      </c>
      <c r="AE43" s="24" t="str">
        <f t="shared" si="4"/>
        <v>0.999999999092302-0.0000325993821559722i</v>
      </c>
      <c r="AF43" s="24" t="str">
        <f t="shared" si="19"/>
        <v>6.85436730163888-0.0155853734842382i</v>
      </c>
      <c r="AG43" s="24">
        <f t="shared" si="5"/>
        <v>6.8543850205283121</v>
      </c>
      <c r="AH43" s="24">
        <f t="shared" si="20"/>
        <v>-2.2737834053970555E-3</v>
      </c>
      <c r="AI43" s="24">
        <f t="shared" si="0"/>
        <v>-0.13027819265613516</v>
      </c>
      <c r="AJ43" s="24">
        <f t="shared" si="21"/>
        <v>16.719369914320794</v>
      </c>
      <c r="AK43" s="24"/>
      <c r="AL43" s="24" t="str">
        <f t="shared" si="22"/>
        <v>0.904898274517636-0.293355394176826i</v>
      </c>
      <c r="AM43" s="24" t="str">
        <f t="shared" si="23"/>
        <v>1.00000004367191+0.00175378166021566i</v>
      </c>
      <c r="AN43" s="24" t="str">
        <f t="shared" si="24"/>
        <v>-304.372812052655+98.0838494732363i</v>
      </c>
      <c r="AO43" s="24">
        <f t="shared" si="6"/>
        <v>319.78625712236186</v>
      </c>
      <c r="AP43" s="24">
        <f t="shared" si="7"/>
        <v>2.8298509033708359</v>
      </c>
      <c r="AQ43" s="24">
        <f t="shared" si="8"/>
        <v>162.13851341443223</v>
      </c>
      <c r="AR43" s="24">
        <f t="shared" si="9"/>
        <v>50.097195918400075</v>
      </c>
      <c r="AS43" s="24">
        <f t="shared" si="25"/>
        <v>66.816565832720869</v>
      </c>
      <c r="AT43" s="24">
        <f t="shared" si="26"/>
        <v>162.00823522177609</v>
      </c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</row>
    <row r="44" spans="1:71" s="1" customFormat="1">
      <c r="A44" s="8" t="s">
        <v>29</v>
      </c>
      <c r="B44" s="4">
        <v>500000</v>
      </c>
      <c r="C44" s="19" t="s">
        <v>102</v>
      </c>
      <c r="D44" s="13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24"/>
      <c r="S44" s="24"/>
      <c r="T44" s="24"/>
      <c r="U44" s="24"/>
      <c r="V44" s="24"/>
      <c r="W44" s="24"/>
      <c r="X44" s="24"/>
      <c r="Y44" s="24">
        <v>42</v>
      </c>
      <c r="Z44" s="24">
        <f t="shared" si="1"/>
        <v>13.240633453975693</v>
      </c>
      <c r="AA44" s="24" t="str">
        <f t="shared" si="10"/>
        <v>83.1933535757706i</v>
      </c>
      <c r="AB44" s="24">
        <f t="shared" si="2"/>
        <v>7.8571428571428568</v>
      </c>
      <c r="AC44" s="24"/>
      <c r="AD44" s="24" t="str">
        <f t="shared" si="3"/>
        <v>0.999994291849739-0.00238335029560142i</v>
      </c>
      <c r="AE44" s="24" t="str">
        <f t="shared" si="4"/>
        <v>0.999999998973484-0.0000346674168433248i</v>
      </c>
      <c r="AF44" s="24" t="str">
        <f t="shared" si="19"/>
        <v>6.85436270652087-0.0165740650524232i</v>
      </c>
      <c r="AG44" s="24">
        <f t="shared" si="5"/>
        <v>6.8543827447974106</v>
      </c>
      <c r="AH44" s="24">
        <f t="shared" si="20"/>
        <v>-2.4180268042423335E-3</v>
      </c>
      <c r="AI44" s="24">
        <f t="shared" si="0"/>
        <v>-0.13854273063259182</v>
      </c>
      <c r="AJ44" s="24">
        <f t="shared" si="21"/>
        <v>16.719367030509822</v>
      </c>
      <c r="AK44" s="24"/>
      <c r="AL44" s="24" t="str">
        <f t="shared" si="22"/>
        <v>0.893771868073137-0.308129381776864i</v>
      </c>
      <c r="AM44" s="24" t="str">
        <f t="shared" si="23"/>
        <v>1.00000004938856+0.00186503779663785i</v>
      </c>
      <c r="AN44" s="24" t="str">
        <f t="shared" si="24"/>
        <v>-300.652681819244+103.023556662437i</v>
      </c>
      <c r="AO44" s="24">
        <f t="shared" si="6"/>
        <v>317.81423554095551</v>
      </c>
      <c r="AP44" s="24">
        <f t="shared" si="7"/>
        <v>2.8114660341139412</v>
      </c>
      <c r="AQ44" s="24">
        <f t="shared" si="8"/>
        <v>161.08513799911236</v>
      </c>
      <c r="AR44" s="24">
        <f t="shared" si="9"/>
        <v>50.043466924665751</v>
      </c>
      <c r="AS44" s="24">
        <f t="shared" si="25"/>
        <v>66.76283395517558</v>
      </c>
      <c r="AT44" s="24">
        <f t="shared" si="26"/>
        <v>160.94659526847977</v>
      </c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</row>
    <row r="45" spans="1:71">
      <c r="A45" s="8" t="s">
        <v>47</v>
      </c>
      <c r="B45" s="14">
        <f>INDEX(AG2:AG202,MATCH(B41,Z2:Z202,1))</f>
        <v>0.54722878964797661</v>
      </c>
      <c r="C45" s="19"/>
      <c r="D45" s="13"/>
      <c r="Y45" s="24">
        <v>43</v>
      </c>
      <c r="Z45" s="24">
        <f t="shared" si="1"/>
        <v>14.080590762968805</v>
      </c>
      <c r="AA45" s="24" t="str">
        <f t="shared" si="10"/>
        <v>88.4709609982942i</v>
      </c>
      <c r="AB45" s="24">
        <f t="shared" si="2"/>
        <v>7.8571428571428568</v>
      </c>
      <c r="AD45" s="24" t="str">
        <f t="shared" si="3"/>
        <v>0.999993544657379-0.00253454300929934i</v>
      </c>
      <c r="AE45" s="24" t="str">
        <f t="shared" si="4"/>
        <v>0.999999998839114-0.0000368666432027199i</v>
      </c>
      <c r="AF45" s="24" t="str">
        <f t="shared" si="19"/>
        <v>6.85435750990899-0.0176254748571317i</v>
      </c>
      <c r="AG45" s="24">
        <f t="shared" si="5"/>
        <v>6.8543801711759258</v>
      </c>
      <c r="AH45" s="24">
        <f t="shared" si="20"/>
        <v>-2.5714205866691747E-3</v>
      </c>
      <c r="AI45" s="24">
        <f t="shared" si="0"/>
        <v>-0.14733154696919781</v>
      </c>
      <c r="AJ45" s="24">
        <f t="shared" si="21"/>
        <v>16.719363769210123</v>
      </c>
      <c r="AL45" s="24" t="str">
        <f t="shared" si="22"/>
        <v>0.881514176533399-0.323182507422729i</v>
      </c>
      <c r="AM45" s="24" t="str">
        <f t="shared" si="23"/>
        <v>1.00000005585353+0.00198335178303956i</v>
      </c>
      <c r="AN45" s="24" t="str">
        <f t="shared" si="24"/>
        <v>-296.554304763159+108.056594246915i</v>
      </c>
      <c r="AO45" s="24">
        <f t="shared" si="6"/>
        <v>315.62744372725734</v>
      </c>
      <c r="AP45" s="24">
        <f t="shared" si="7"/>
        <v>2.7921705653961597</v>
      </c>
      <c r="AQ45" s="24">
        <f t="shared" si="8"/>
        <v>159.97958907785676</v>
      </c>
      <c r="AR45" s="24">
        <f t="shared" si="9"/>
        <v>49.983495159514035</v>
      </c>
      <c r="AS45" s="24">
        <f t="shared" si="25"/>
        <v>66.702858928724154</v>
      </c>
      <c r="AT45" s="24">
        <f t="shared" si="26"/>
        <v>159.83225753088757</v>
      </c>
    </row>
    <row r="46" spans="1:71">
      <c r="A46" s="8" t="s">
        <v>26</v>
      </c>
      <c r="B46" s="14">
        <f>B44/(B45*(B44-B43)*B13)*(B5/0.8)*SQRT(1+(B41/B44)^2)/SQRT(1+(B43/B41)^2)</f>
        <v>7681.2575473256102</v>
      </c>
      <c r="C46" s="37" t="s">
        <v>56</v>
      </c>
      <c r="D46" s="6">
        <f>B46</f>
        <v>7681.2575473256102</v>
      </c>
      <c r="E46" s="37" t="s">
        <v>56</v>
      </c>
      <c r="Y46" s="24">
        <v>44</v>
      </c>
      <c r="Z46" s="24">
        <f t="shared" si="1"/>
        <v>14.973833157104059</v>
      </c>
      <c r="AA46" s="24" t="str">
        <f t="shared" si="10"/>
        <v>94.0833684848747i</v>
      </c>
      <c r="AB46" s="24">
        <f t="shared" si="2"/>
        <v>7.8571428571428568</v>
      </c>
      <c r="AD46" s="24" t="str">
        <f t="shared" si="3"/>
        <v>0.999992699658846-0.00269532667794043i</v>
      </c>
      <c r="AE46" s="24" t="str">
        <f t="shared" si="4"/>
        <v>0.999999998687154-0.0000392053837515308i</v>
      </c>
      <c r="AF46" s="24" t="str">
        <f t="shared" si="19"/>
        <v>6.8543516330697-0.018743581156486i</v>
      </c>
      <c r="AG46" s="24">
        <f t="shared" si="5"/>
        <v>6.8543772606707192</v>
      </c>
      <c r="AH46" s="24">
        <f t="shared" si="20"/>
        <v>-2.7345452115663475E-3</v>
      </c>
      <c r="AI46" s="24">
        <f t="shared" si="0"/>
        <v>-0.15667789951046052</v>
      </c>
      <c r="AJ46" s="24">
        <f t="shared" si="21"/>
        <v>16.719360081009036</v>
      </c>
      <c r="AL46" s="24" t="str">
        <f t="shared" si="22"/>
        <v>0.8680508798619-0.338435444114356i</v>
      </c>
      <c r="AM46" s="24" t="str">
        <f t="shared" si="23"/>
        <v>1.00000006316476+0.00210917135423759i</v>
      </c>
      <c r="AN46" s="24" t="str">
        <f t="shared" si="24"/>
        <v>-292.052831871714+113.156439139984i</v>
      </c>
      <c r="AO46" s="24">
        <f t="shared" si="6"/>
        <v>313.20797614864233</v>
      </c>
      <c r="AP46" s="24">
        <f t="shared" si="7"/>
        <v>2.7719501426168285</v>
      </c>
      <c r="AQ46" s="24">
        <f t="shared" si="8"/>
        <v>158.82104419263089</v>
      </c>
      <c r="AR46" s="24">
        <f t="shared" si="9"/>
        <v>49.916656265242679</v>
      </c>
      <c r="AS46" s="24">
        <f t="shared" si="25"/>
        <v>66.636016346251722</v>
      </c>
      <c r="AT46" s="24">
        <f t="shared" si="26"/>
        <v>158.66436629312042</v>
      </c>
    </row>
    <row r="47" spans="1:71">
      <c r="A47" s="8" t="s">
        <v>25</v>
      </c>
      <c r="B47" s="14">
        <f>1/(B46*B43*2*PI())*1000000000000</f>
        <v>2959.9867341533795</v>
      </c>
      <c r="C47" s="19" t="s">
        <v>110</v>
      </c>
      <c r="D47" s="41">
        <f>B47</f>
        <v>2959.9867341533795</v>
      </c>
      <c r="E47" s="13" t="s">
        <v>110</v>
      </c>
      <c r="Y47" s="24">
        <v>45</v>
      </c>
      <c r="Z47" s="24">
        <f t="shared" si="1"/>
        <v>15.923740927579823</v>
      </c>
      <c r="AA47" s="24" t="str">
        <f t="shared" si="10"/>
        <v>100.051815031504i</v>
      </c>
      <c r="AB47" s="24">
        <f t="shared" si="2"/>
        <v>7.8571428571428568</v>
      </c>
      <c r="AD47" s="24" t="str">
        <f t="shared" si="3"/>
        <v>0.999991744051685-0.00286630965293388i</v>
      </c>
      <c r="AE47" s="24" t="str">
        <f t="shared" si="4"/>
        <v>0.999999998515302-0.000041692488969705i</v>
      </c>
      <c r="AF47" s="24" t="str">
        <f t="shared" si="19"/>
        <v>6.85434498696383-0.0199326144891739i</v>
      </c>
      <c r="AG47" s="24">
        <f t="shared" si="5"/>
        <v>6.8543739691846817</v>
      </c>
      <c r="AH47" s="24">
        <f t="shared" si="20"/>
        <v>-2.9080179564756081E-3</v>
      </c>
      <c r="AI47" s="24">
        <f t="shared" si="0"/>
        <v>-0.16661715565431068</v>
      </c>
      <c r="AJ47" s="24">
        <f t="shared" si="21"/>
        <v>16.719355910025993</v>
      </c>
      <c r="AL47" s="24" t="str">
        <f t="shared" si="22"/>
        <v>0.853312343089841-0.353794273865994i</v>
      </c>
      <c r="AM47" s="24" t="str">
        <f t="shared" si="23"/>
        <v>1.00000007143303+0.00224297264838129i</v>
      </c>
      <c r="AN47" s="24" t="str">
        <f t="shared" si="24"/>
        <v>-287.12498059146+118.291689738335i</v>
      </c>
      <c r="AO47" s="24">
        <f t="shared" si="6"/>
        <v>310.53772450508615</v>
      </c>
      <c r="AP47" s="24">
        <f t="shared" si="7"/>
        <v>2.7507957640715666</v>
      </c>
      <c r="AQ47" s="24">
        <f t="shared" si="8"/>
        <v>157.6089875837653</v>
      </c>
      <c r="AR47" s="24">
        <f t="shared" si="9"/>
        <v>49.842287326915709</v>
      </c>
      <c r="AS47" s="24">
        <f t="shared" si="25"/>
        <v>66.561643236941705</v>
      </c>
      <c r="AT47" s="24">
        <f t="shared" si="26"/>
        <v>157.44237042811099</v>
      </c>
    </row>
    <row r="48" spans="1:71">
      <c r="A48" s="8" t="s">
        <v>27</v>
      </c>
      <c r="B48" s="14">
        <f>1/(B46*B44*2*PI())*1000000000000</f>
        <v>41.439814278147324</v>
      </c>
      <c r="C48" s="19" t="s">
        <v>110</v>
      </c>
      <c r="D48" s="6">
        <f>B48</f>
        <v>41.439814278147324</v>
      </c>
      <c r="E48" s="13" t="s">
        <v>110</v>
      </c>
      <c r="Y48" s="24">
        <v>46</v>
      </c>
      <c r="Z48" s="24">
        <f t="shared" si="1"/>
        <v>16.933908803997952</v>
      </c>
      <c r="AA48" s="24" t="str">
        <f t="shared" si="10"/>
        <v>106.398886990399i</v>
      </c>
      <c r="AB48" s="24">
        <f t="shared" si="2"/>
        <v>7.8571428571428568</v>
      </c>
      <c r="AD48" s="24" t="str">
        <f t="shared" si="3"/>
        <v>0.999990663357701-0.00304813886235891i</v>
      </c>
      <c r="AE48" s="24" t="str">
        <f t="shared" si="4"/>
        <v>0.999999998320954-0.0000443373707925678i</v>
      </c>
      <c r="AF48" s="24" t="str">
        <f t="shared" si="19"/>
        <v>6.85433747089768-0.0211970736600286i</v>
      </c>
      <c r="AG48" s="24">
        <f t="shared" si="5"/>
        <v>6.8543702468486307</v>
      </c>
      <c r="AH48" s="24">
        <f t="shared" si="20"/>
        <v>-3.0924952523940282E-3</v>
      </c>
      <c r="AI48" s="24">
        <f t="shared" si="0"/>
        <v>-0.17718692612642212</v>
      </c>
      <c r="AJ48" s="24">
        <f t="shared" si="21"/>
        <v>16.719351193065837</v>
      </c>
      <c r="AL48" s="24" t="str">
        <f t="shared" si="22"/>
        <v>0.837236216369186-0.369150016076114i</v>
      </c>
      <c r="AM48" s="24" t="str">
        <f t="shared" si="23"/>
        <v>1.00000008078362+0.00238526200879861i</v>
      </c>
      <c r="AN48" s="24" t="str">
        <f t="shared" si="24"/>
        <v>-281.749904159707+123.42590823187i</v>
      </c>
      <c r="AO48" s="24">
        <f t="shared" si="6"/>
        <v>307.59870499868185</v>
      </c>
      <c r="AP48" s="24">
        <f t="shared" si="7"/>
        <v>2.7287046967222528</v>
      </c>
      <c r="AQ48" s="24">
        <f t="shared" si="8"/>
        <v>156.34326265971035</v>
      </c>
      <c r="AR48" s="24">
        <f t="shared" si="9"/>
        <v>49.759690054765343</v>
      </c>
      <c r="AS48" s="24">
        <f t="shared" si="25"/>
        <v>66.479041247831177</v>
      </c>
      <c r="AT48" s="24">
        <f t="shared" si="26"/>
        <v>156.16607573358394</v>
      </c>
    </row>
    <row r="49" spans="1:46" ht="28.5" customHeight="1">
      <c r="A49" s="51" t="s">
        <v>111</v>
      </c>
      <c r="B49" s="52"/>
      <c r="C49" s="52"/>
      <c r="D49" s="52"/>
      <c r="E49" s="50"/>
      <c r="Y49" s="24">
        <v>47</v>
      </c>
      <c r="Z49" s="24">
        <f t="shared" si="1"/>
        <v>18.008159557874837</v>
      </c>
      <c r="AA49" s="24" t="str">
        <f t="shared" si="10"/>
        <v>113.148603543385i</v>
      </c>
      <c r="AB49" s="24">
        <f t="shared" si="2"/>
        <v>7.8571428571428568</v>
      </c>
      <c r="AD49" s="24" t="str">
        <f t="shared" si="3"/>
        <v>0.999989441203639-0.00324150225497723i</v>
      </c>
      <c r="AE49" s="24" t="str">
        <f t="shared" si="4"/>
        <v>0.999999998101168-0.0000471500382283388i</v>
      </c>
      <c r="AF49" s="24" t="str">
        <f t="shared" si="19"/>
        <v>6.85432897099771-0.0225417427359416i</v>
      </c>
      <c r="AG49" s="24">
        <f t="shared" si="5"/>
        <v>6.8543660372658906</v>
      </c>
      <c r="AH49" s="24">
        <f t="shared" si="20"/>
        <v>-3.2886751665103281E-3</v>
      </c>
      <c r="AI49" s="24">
        <f t="shared" si="0"/>
        <v>-0.18842720723052503</v>
      </c>
      <c r="AJ49" s="24">
        <f t="shared" si="21"/>
        <v>16.719345858661505</v>
      </c>
      <c r="AL49" s="24" t="str">
        <f t="shared" si="22"/>
        <v>0.819770362076162-0.384378609625562i</v>
      </c>
      <c r="AM49" s="24" t="str">
        <f t="shared" si="23"/>
        <v>1.0000000913582+0.00253657790014741i</v>
      </c>
      <c r="AN49" s="24" t="str">
        <f t="shared" si="24"/>
        <v>-275.910170285849+128.517614618242i</v>
      </c>
      <c r="AO49" s="24">
        <f t="shared" si="6"/>
        <v>304.37345372802992</v>
      </c>
      <c r="AP49" s="24">
        <f t="shared" si="7"/>
        <v>2.7056814077543136</v>
      </c>
      <c r="AQ49" s="24">
        <f t="shared" si="8"/>
        <v>155.02412537133733</v>
      </c>
      <c r="AR49" s="24">
        <f t="shared" si="9"/>
        <v>49.66813544540237</v>
      </c>
      <c r="AS49" s="24">
        <f t="shared" si="25"/>
        <v>66.387481304063868</v>
      </c>
      <c r="AT49" s="24">
        <f t="shared" si="26"/>
        <v>154.83569816410682</v>
      </c>
    </row>
    <row r="50" spans="1:46">
      <c r="C50" s="22"/>
      <c r="D50" s="19"/>
      <c r="Y50" s="24">
        <v>48</v>
      </c>
      <c r="Z50" s="24">
        <f t="shared" si="1"/>
        <v>19.150558469130036</v>
      </c>
      <c r="AA50" s="24" t="str">
        <f t="shared" si="10"/>
        <v>120.326507597521i</v>
      </c>
      <c r="AB50" s="24">
        <f t="shared" si="2"/>
        <v>7.8571428571428568</v>
      </c>
      <c r="AD50" s="24" t="str">
        <f t="shared" si="3"/>
        <v>0.999988059073155-0.00344713139863797i</v>
      </c>
      <c r="AE50" s="24" t="str">
        <f t="shared" si="4"/>
        <v>0.999999997852611-0.0000501411352351415i</v>
      </c>
      <c r="AF50" s="24" t="str">
        <f t="shared" si="19"/>
        <v>6.85431935848548-0.0239717091154353i</v>
      </c>
      <c r="AG50" s="24">
        <f t="shared" si="5"/>
        <v>6.8543612766578565</v>
      </c>
      <c r="AH50" s="24">
        <f t="shared" si="20"/>
        <v>-3.4973000422225159E-3</v>
      </c>
      <c r="AI50" s="24">
        <f t="shared" si="0"/>
        <v>-0.20038053211027476</v>
      </c>
      <c r="AJ50" s="24">
        <f t="shared" si="21"/>
        <v>16.719339825991216</v>
      </c>
      <c r="AL50" s="24" t="str">
        <f t="shared" si="22"/>
        <v>0.800876038298292-0.399341469895032i</v>
      </c>
      <c r="AM50" s="24" t="str">
        <f t="shared" si="23"/>
        <v>1.00000010331699+0.00269749294612315i</v>
      </c>
      <c r="AN50" s="24" t="str">
        <f t="shared" si="24"/>
        <v>-269.592825554902+133.520472942516i</v>
      </c>
      <c r="AO50" s="24">
        <f t="shared" si="6"/>
        <v>300.84548905620801</v>
      </c>
      <c r="AP50" s="24">
        <f t="shared" si="7"/>
        <v>2.6817384802928848</v>
      </c>
      <c r="AQ50" s="24">
        <f t="shared" si="8"/>
        <v>153.65229667860959</v>
      </c>
      <c r="AR50" s="24">
        <f t="shared" si="9"/>
        <v>49.566870079379854</v>
      </c>
      <c r="AS50" s="24">
        <f t="shared" si="25"/>
        <v>66.286209905371066</v>
      </c>
      <c r="AT50" s="24">
        <f t="shared" si="26"/>
        <v>153.45191614649931</v>
      </c>
    </row>
    <row r="51" spans="1:46">
      <c r="C51" s="22"/>
      <c r="D51" s="19"/>
      <c r="Y51" s="24">
        <v>49</v>
      </c>
      <c r="Z51" s="24">
        <f t="shared" si="1"/>
        <v>20.365428710297824</v>
      </c>
      <c r="AA51" s="24" t="str">
        <f t="shared" si="10"/>
        <v>127.959762446957i</v>
      </c>
      <c r="AB51" s="24">
        <f t="shared" si="2"/>
        <v>7.8571428571428568</v>
      </c>
      <c r="AD51" s="24" t="str">
        <f t="shared" si="3"/>
        <v>0.999986496026335-0.00366580424273828i</v>
      </c>
      <c r="AE51" s="24" t="str">
        <f t="shared" si="4"/>
        <v>0.999999997571517-0.0000533219810008526i</v>
      </c>
      <c r="AF51" s="24" t="str">
        <f t="shared" si="19"/>
        <v>6.85430848772701-0.0254923827390957i</v>
      </c>
      <c r="AG51" s="24">
        <f t="shared" si="5"/>
        <v>6.8543558928979058</v>
      </c>
      <c r="AH51" s="24">
        <f t="shared" si="20"/>
        <v>-3.7191593063710211E-3</v>
      </c>
      <c r="AI51" s="24">
        <f t="shared" si="0"/>
        <v>-0.21309213159186222</v>
      </c>
      <c r="AJ51" s="24">
        <f t="shared" si="21"/>
        <v>16.719333003654128</v>
      </c>
      <c r="AL51" s="24" t="str">
        <f t="shared" si="22"/>
        <v>0.7805312277334-0.413886736035828i</v>
      </c>
      <c r="AM51" s="24" t="str">
        <f t="shared" si="23"/>
        <v>1.00000011684119+0.00286861609643434i</v>
      </c>
      <c r="AN51" s="24" t="str">
        <f t="shared" si="24"/>
        <v>-262.790508449747+138.383708324021i</v>
      </c>
      <c r="AO51" s="24">
        <f t="shared" si="6"/>
        <v>296.99983511911967</v>
      </c>
      <c r="AP51" s="24">
        <f t="shared" si="7"/>
        <v>2.6568974743160472</v>
      </c>
      <c r="AQ51" s="24">
        <f t="shared" si="8"/>
        <v>152.22901187727754</v>
      </c>
      <c r="AR51" s="24">
        <f t="shared" si="9"/>
        <v>49.455124164332361</v>
      </c>
      <c r="AS51" s="24">
        <f t="shared" si="25"/>
        <v>66.174457167986489</v>
      </c>
      <c r="AT51" s="24">
        <f t="shared" si="26"/>
        <v>152.01591974568569</v>
      </c>
    </row>
    <row r="52" spans="1:46">
      <c r="C52" s="22"/>
      <c r="D52" s="19"/>
      <c r="Y52" s="24">
        <v>50</v>
      </c>
      <c r="Z52" s="24">
        <f t="shared" si="1"/>
        <v>21.657367706679931</v>
      </c>
      <c r="AA52" s="24" t="str">
        <f t="shared" si="10"/>
        <v>136.077254566797i</v>
      </c>
      <c r="AB52" s="24">
        <f t="shared" si="2"/>
        <v>7.8571428571428568</v>
      </c>
      <c r="AD52" s="24" t="str">
        <f t="shared" si="3"/>
        <v>0.99998472838251-0.00389834805498782i</v>
      </c>
      <c r="AE52" s="24" t="str">
        <f t="shared" si="4"/>
        <v>0.999999997253629-0.0000567046127782089i</v>
      </c>
      <c r="AF52" s="24" t="str">
        <f t="shared" si="19"/>
        <v>6.85429619402675-0.0271095165121309i</v>
      </c>
      <c r="AG52" s="24">
        <f t="shared" si="5"/>
        <v>6.8543498044187325</v>
      </c>
      <c r="AH52" s="24">
        <f t="shared" si="20"/>
        <v>-3.9550924542412751E-3</v>
      </c>
      <c r="AI52" s="24">
        <f t="shared" si="0"/>
        <v>-0.22661010521206376</v>
      </c>
      <c r="AJ52" s="24">
        <f t="shared" si="21"/>
        <v>16.719325288285614</v>
      </c>
      <c r="AL52" s="24" t="str">
        <f t="shared" si="22"/>
        <v>0.758733957973963-0.427851304767354i</v>
      </c>
      <c r="AM52" s="24" t="str">
        <f t="shared" si="23"/>
        <v>1.00000013213571+0.00305059493124607i</v>
      </c>
      <c r="AN52" s="24" t="str">
        <f t="shared" si="24"/>
        <v>-255.502559493045+143.05278695957i</v>
      </c>
      <c r="AO52" s="24">
        <f t="shared" si="6"/>
        <v>292.82359495846146</v>
      </c>
      <c r="AP52" s="24">
        <f t="shared" si="7"/>
        <v>2.6311896872211107</v>
      </c>
      <c r="AQ52" s="24">
        <f t="shared" si="8"/>
        <v>150.75606417611681</v>
      </c>
      <c r="AR52" s="24">
        <f t="shared" si="9"/>
        <v>49.3321213621673</v>
      </c>
      <c r="AS52" s="24">
        <f t="shared" si="25"/>
        <v>66.051446650452917</v>
      </c>
      <c r="AT52" s="24">
        <f t="shared" si="26"/>
        <v>150.52945407090473</v>
      </c>
    </row>
    <row r="53" spans="1:46">
      <c r="C53" s="22"/>
      <c r="D53" s="39"/>
      <c r="Y53" s="24">
        <v>51</v>
      </c>
      <c r="Z53" s="24">
        <f t="shared" si="1"/>
        <v>23.031264534351347</v>
      </c>
      <c r="AA53" s="24" t="str">
        <f t="shared" si="10"/>
        <v>144.709702928003i</v>
      </c>
      <c r="AB53" s="24">
        <f t="shared" si="2"/>
        <v>7.8571428571428568</v>
      </c>
      <c r="AD53" s="24" t="str">
        <f t="shared" si="3"/>
        <v>0.99998272936157-0.004145642543345i</v>
      </c>
      <c r="AE53" s="24" t="str">
        <f t="shared" si="4"/>
        <v>0.999999996894128-0.0000603018314372879i</v>
      </c>
      <c r="AF53" s="24" t="str">
        <f t="shared" si="19"/>
        <v>6.85428229113303-0.0288292280146318i</v>
      </c>
      <c r="AG53" s="24">
        <f t="shared" si="5"/>
        <v>6.8543429189768279</v>
      </c>
      <c r="AH53" s="24">
        <f t="shared" si="20"/>
        <v>-4.2059922235500331E-3</v>
      </c>
      <c r="AI53" s="24">
        <f t="shared" si="0"/>
        <v>-0.24098560307426153</v>
      </c>
      <c r="AJ53" s="24">
        <f t="shared" si="21"/>
        <v>16.719316562991423</v>
      </c>
      <c r="AL53" s="24" t="str">
        <f t="shared" si="22"/>
        <v>0.735505417701469-0.441063712215431i</v>
      </c>
      <c r="AM53" s="24" t="str">
        <f t="shared" si="23"/>
        <v>1.00000014943228+0.00324411811181256i</v>
      </c>
      <c r="AN53" s="24" t="str">
        <f t="shared" si="24"/>
        <v>-247.736063151368+147.470379670371i</v>
      </c>
      <c r="AO53" s="24">
        <f t="shared" si="6"/>
        <v>288.30655536401173</v>
      </c>
      <c r="AP53" s="24">
        <f t="shared" si="7"/>
        <v>2.6046567635629394</v>
      </c>
      <c r="AQ53" s="24">
        <f t="shared" si="8"/>
        <v>149.23583963236078</v>
      </c>
      <c r="AR53" s="24">
        <f t="shared" si="9"/>
        <v>49.197090345235573</v>
      </c>
      <c r="AS53" s="24">
        <f t="shared" si="25"/>
        <v>65.916406908227003</v>
      </c>
      <c r="AT53" s="24">
        <f t="shared" si="26"/>
        <v>148.99485402928653</v>
      </c>
    </row>
    <row r="54" spans="1:46">
      <c r="C54" s="22"/>
      <c r="D54" s="19"/>
      <c r="Y54" s="24">
        <v>52</v>
      </c>
      <c r="Z54" s="24">
        <f t="shared" si="1"/>
        <v>24.492318421858034</v>
      </c>
      <c r="AA54" s="24" t="str">
        <f t="shared" si="10"/>
        <v>153.889775246982i</v>
      </c>
      <c r="AB54" s="24">
        <f t="shared" si="2"/>
        <v>7.8571428571428568</v>
      </c>
      <c r="AD54" s="24" t="str">
        <f t="shared" si="3"/>
        <v>0.999980468678347-0.00440862317464172i</v>
      </c>
      <c r="AE54" s="24" t="str">
        <f t="shared" si="4"/>
        <v>0.99999999648757-0.0000641272499077284i</v>
      </c>
      <c r="AF54" s="24" t="str">
        <f t="shared" si="19"/>
        <v>6.85426656841699-0.0306580225796242i</v>
      </c>
      <c r="AG54" s="24">
        <f t="shared" si="5"/>
        <v>6.8543351322551569</v>
      </c>
      <c r="AH54" s="24">
        <f t="shared" si="20"/>
        <v>-4.4728079693266195E-3</v>
      </c>
      <c r="AI54" s="24">
        <f t="shared" si="0"/>
        <v>-0.25627301921489548</v>
      </c>
      <c r="AJ54" s="24">
        <f t="shared" si="21"/>
        <v>16.719306695576808</v>
      </c>
      <c r="AL54" s="24" t="str">
        <f t="shared" si="22"/>
        <v>0.710892639320976-0.453347873801381i</v>
      </c>
      <c r="AM54" s="24" t="str">
        <f t="shared" si="23"/>
        <v>1.00000016899298+0.00344991798657222i</v>
      </c>
      <c r="AN54" s="24" t="str">
        <f t="shared" si="24"/>
        <v>-239.506744777986+151.577612339467i</v>
      </c>
      <c r="AO54" s="24">
        <f t="shared" si="6"/>
        <v>283.44179888767474</v>
      </c>
      <c r="AP54" s="24">
        <f t="shared" si="7"/>
        <v>2.5773511011992767</v>
      </c>
      <c r="AQ54" s="24">
        <f t="shared" si="8"/>
        <v>147.67134042211367</v>
      </c>
      <c r="AR54" s="24">
        <f t="shared" si="9"/>
        <v>49.049277912420528</v>
      </c>
      <c r="AS54" s="24">
        <f t="shared" si="25"/>
        <v>65.76858460799734</v>
      </c>
      <c r="AT54" s="24">
        <f t="shared" si="26"/>
        <v>147.41506740289879</v>
      </c>
    </row>
    <row r="55" spans="1:46">
      <c r="C55" s="22"/>
      <c r="D55" s="19"/>
      <c r="Y55" s="24">
        <v>53</v>
      </c>
      <c r="Z55" s="24">
        <f t="shared" si="1"/>
        <v>26.046058425622668</v>
      </c>
      <c r="AA55" s="24" t="str">
        <f t="shared" si="10"/>
        <v>163.652211609813i</v>
      </c>
      <c r="AB55" s="24">
        <f t="shared" si="2"/>
        <v>7.8571428571428568</v>
      </c>
      <c r="AD55" s="24" t="str">
        <f t="shared" si="3"/>
        <v>0.999977912083934-0.00468828470209969i</v>
      </c>
      <c r="AE55" s="24" t="str">
        <f t="shared" si="4"/>
        <v>0.999999996027792-0.000068195344694024i</v>
      </c>
      <c r="AF55" s="24" t="str">
        <f t="shared" si="19"/>
        <v>6.85424878768258-0.0326028178237718i</v>
      </c>
      <c r="AG55" s="24">
        <f t="shared" si="5"/>
        <v>6.8543263262831422</v>
      </c>
      <c r="AH55" s="24">
        <f t="shared" si="20"/>
        <v>-4.7565492523417843E-3</v>
      </c>
      <c r="AI55" s="24">
        <f t="shared" si="0"/>
        <v>-0.27253019720529142</v>
      </c>
      <c r="AJ55" s="24">
        <f t="shared" si="21"/>
        <v>16.71929553654406</v>
      </c>
      <c r="AL55" s="24" t="str">
        <f t="shared" si="22"/>
        <v>0.684970498883693-0.464527625166381i</v>
      </c>
      <c r="AM55" s="24" t="str">
        <f t="shared" si="23"/>
        <v>1.00000019111417+0.00366877336256787i</v>
      </c>
      <c r="AN55" s="24" t="str">
        <f t="shared" si="24"/>
        <v>-230.839639289886+155.315584176492i</v>
      </c>
      <c r="AO55" s="24">
        <f t="shared" si="6"/>
        <v>278.22629235133343</v>
      </c>
      <c r="AP55" s="24">
        <f t="shared" si="7"/>
        <v>2.54933600245197</v>
      </c>
      <c r="AQ55" s="24">
        <f t="shared" si="8"/>
        <v>146.06619350125078</v>
      </c>
      <c r="AR55" s="24">
        <f t="shared" si="9"/>
        <v>48.887963367437877</v>
      </c>
      <c r="AS55" s="24">
        <f t="shared" si="25"/>
        <v>65.607258903981943</v>
      </c>
      <c r="AT55" s="24">
        <f t="shared" si="26"/>
        <v>145.79366330404548</v>
      </c>
    </row>
    <row r="56" spans="1:46">
      <c r="D56" s="13"/>
      <c r="Y56" s="24">
        <v>54</v>
      </c>
      <c r="Z56" s="24">
        <f t="shared" si="1"/>
        <v>27.698364353515743</v>
      </c>
      <c r="AA56" s="24" t="str">
        <f t="shared" si="10"/>
        <v>174.033955938917i</v>
      </c>
      <c r="AB56" s="24">
        <f t="shared" si="2"/>
        <v>7.8571428571428568</v>
      </c>
      <c r="AD56" s="24" t="str">
        <f t="shared" si="3"/>
        <v>0.999975020846988-0.00498568491465776i</v>
      </c>
      <c r="AE56" s="24" t="str">
        <f t="shared" si="4"/>
        <v>0.999999995507829-0.0000725215106588283i</v>
      </c>
      <c r="AF56" s="24" t="str">
        <f t="shared" si="19"/>
        <v>6.85422867955905-0.0346709697205744i</v>
      </c>
      <c r="AG56" s="24">
        <f t="shared" si="5"/>
        <v>6.8543163676497416</v>
      </c>
      <c r="AH56" s="24">
        <f t="shared" si="20"/>
        <v>-5.0582896545197124E-3</v>
      </c>
      <c r="AI56" s="24">
        <f t="shared" si="0"/>
        <v>-0.28981864875866681</v>
      </c>
      <c r="AJ56" s="24">
        <f t="shared" si="21"/>
        <v>16.719282916827783</v>
      </c>
      <c r="AL56" s="24" t="str">
        <f t="shared" si="22"/>
        <v>0.657842785718756-0.474431928727971i</v>
      </c>
      <c r="AM56" s="24" t="str">
        <f t="shared" si="23"/>
        <v>1.00000021613103+0.00390151245267941i</v>
      </c>
      <c r="AN56" s="24" t="str">
        <f t="shared" si="24"/>
        <v>-221.769448800737+158.627108537517i</v>
      </c>
      <c r="AO56" s="24">
        <f t="shared" si="6"/>
        <v>272.66141638368254</v>
      </c>
      <c r="AP56" s="24">
        <f t="shared" si="7"/>
        <v>2.5206855247691813</v>
      </c>
      <c r="AQ56" s="24">
        <f t="shared" si="8"/>
        <v>144.42464204899321</v>
      </c>
      <c r="AR56" s="24">
        <f t="shared" si="9"/>
        <v>48.712473727868314</v>
      </c>
      <c r="AS56" s="24">
        <f t="shared" si="25"/>
        <v>65.431756644696094</v>
      </c>
      <c r="AT56" s="24">
        <f t="shared" si="26"/>
        <v>144.13482340023455</v>
      </c>
    </row>
    <row r="57" spans="1:46">
      <c r="D57" s="13"/>
      <c r="Y57" s="24">
        <v>55</v>
      </c>
      <c r="Z57" s="24">
        <f t="shared" si="1"/>
        <v>29.45548901577305</v>
      </c>
      <c r="AA57" s="24" t="str">
        <f t="shared" si="10"/>
        <v>185.074295799695i</v>
      </c>
      <c r="AB57" s="24">
        <f t="shared" si="2"/>
        <v>7.8571428571428568</v>
      </c>
      <c r="AD57" s="24" t="str">
        <f t="shared" si="3"/>
        <v>0.999971751167198-0.00530194862178365i</v>
      </c>
      <c r="AE57" s="24" t="str">
        <f t="shared" si="4"/>
        <v>0.999999994919805-0.0000771221192815907i</v>
      </c>
      <c r="AF57" s="24" t="str">
        <f t="shared" si="19"/>
        <v>6.85420593942176-0.036870300311147i</v>
      </c>
      <c r="AG57" s="24">
        <f t="shared" si="5"/>
        <v>6.8543051054829451</v>
      </c>
      <c r="AH57" s="24">
        <f t="shared" si="20"/>
        <v>-5.3791708355992989E-3</v>
      </c>
      <c r="AI57" s="24">
        <f t="shared" si="0"/>
        <v>-0.30820378615970023</v>
      </c>
      <c r="AJ57" s="24">
        <f t="shared" si="21"/>
        <v>16.719268645234092</v>
      </c>
      <c r="AL57" s="24" t="str">
        <f t="shared" si="22"/>
        <v>0.629642122715782-0.482900528077725i</v>
      </c>
      <c r="AM57" s="24" t="str">
        <f t="shared" si="23"/>
        <v>1.00000024442259+0.00414901600982257i</v>
      </c>
      <c r="AN57" s="24" t="str">
        <f t="shared" si="24"/>
        <v>-212.340515967227+161.45860348124i</v>
      </c>
      <c r="AO57" s="24">
        <f t="shared" si="6"/>
        <v>266.75339802772982</v>
      </c>
      <c r="AP57" s="24">
        <f t="shared" si="7"/>
        <v>2.4914839962392197</v>
      </c>
      <c r="AQ57" s="24">
        <f t="shared" si="8"/>
        <v>142.75151770889556</v>
      </c>
      <c r="AR57" s="24">
        <f t="shared" si="9"/>
        <v>48.522199207500385</v>
      </c>
      <c r="AS57" s="24">
        <f t="shared" si="25"/>
        <v>65.241467852734473</v>
      </c>
      <c r="AT57" s="24">
        <f t="shared" si="26"/>
        <v>142.44331392273585</v>
      </c>
    </row>
    <row r="58" spans="1:46">
      <c r="D58" s="13"/>
      <c r="Y58" s="24">
        <v>56</v>
      </c>
      <c r="Z58" s="24">
        <f t="shared" si="1"/>
        <v>31.324081887463471</v>
      </c>
      <c r="AA58" s="24" t="str">
        <f t="shared" si="10"/>
        <v>196.815011076201i</v>
      </c>
      <c r="AB58" s="24">
        <f t="shared" si="2"/>
        <v>7.8571428571428568</v>
      </c>
      <c r="AD58" s="24" t="str">
        <f t="shared" si="3"/>
        <v>0.99996805351202-0.0056382718882296i</v>
      </c>
      <c r="AE58" s="24" t="str">
        <f t="shared" si="4"/>
        <v>0.999999994254807-0.0000820145806129897i</v>
      </c>
      <c r="AF58" s="24" t="str">
        <f t="shared" si="19"/>
        <v>6.85418022277921-0.0392091271531302i</v>
      </c>
      <c r="AG58" s="24">
        <f t="shared" si="5"/>
        <v>6.8542923691647237</v>
      </c>
      <c r="AH58" s="24">
        <f t="shared" si="20"/>
        <v>-5.7204068461884699E-3</v>
      </c>
      <c r="AI58" s="24">
        <f t="shared" si="0"/>
        <v>-0.32775516938434118</v>
      </c>
      <c r="AJ58" s="24">
        <f t="shared" si="21"/>
        <v>16.719252505544429</v>
      </c>
      <c r="AL58" s="24" t="str">
        <f t="shared" si="22"/>
        <v>0.600528576554501-0.489789756217835i</v>
      </c>
      <c r="AM58" s="24" t="str">
        <f t="shared" si="23"/>
        <v>1.00000027641752+0.00441222065997424i</v>
      </c>
      <c r="AN58" s="24" t="str">
        <f t="shared" si="24"/>
        <v>-202.606359317325+163.762033761456i</v>
      </c>
      <c r="AO58" s="24">
        <f t="shared" si="6"/>
        <v>260.51360912149914</v>
      </c>
      <c r="AP58" s="24">
        <f t="shared" si="7"/>
        <v>2.4618251771081874</v>
      </c>
      <c r="AQ58" s="24">
        <f t="shared" si="8"/>
        <v>141.05219254734556</v>
      </c>
      <c r="AR58" s="24">
        <f t="shared" si="9"/>
        <v>48.316608311788826</v>
      </c>
      <c r="AS58" s="24">
        <f t="shared" si="25"/>
        <v>65.035860817333258</v>
      </c>
      <c r="AT58" s="24">
        <f t="shared" si="26"/>
        <v>140.72443737796121</v>
      </c>
    </row>
    <row r="59" spans="1:46">
      <c r="D59" s="13"/>
      <c r="Y59" s="24">
        <v>57</v>
      </c>
      <c r="Z59" s="24">
        <f t="shared" si="1"/>
        <v>33.311214272052936</v>
      </c>
      <c r="AA59" s="24" t="str">
        <f t="shared" si="10"/>
        <v>209.300532078474i</v>
      </c>
      <c r="AB59" s="24">
        <f t="shared" si="2"/>
        <v>7.8571428571428568</v>
      </c>
      <c r="AD59" s="24" t="str">
        <f t="shared" si="3"/>
        <v>0.999963871866671-0.00599592653401135i</v>
      </c>
      <c r="AE59" s="24" t="str">
        <f t="shared" si="4"/>
        <v>0.999999993502761-0.0000872174091596141i</v>
      </c>
      <c r="AF59" s="24" t="str">
        <f t="shared" si="19"/>
        <v>6.85415114005691-0.0416962946139885i</v>
      </c>
      <c r="AG59" s="24">
        <f t="shared" si="5"/>
        <v>6.8542779657472295</v>
      </c>
      <c r="AH59" s="24">
        <f t="shared" si="20"/>
        <v>-6.083288713283206E-3</v>
      </c>
      <c r="AI59" s="24">
        <f t="shared" si="0"/>
        <v>-0.34854676883069685</v>
      </c>
      <c r="AJ59" s="24">
        <f t="shared" si="21"/>
        <v>16.719234253240693</v>
      </c>
      <c r="AL59" s="24" t="str">
        <f t="shared" si="22"/>
        <v>0.570686884017075-0.494978145404377i</v>
      </c>
      <c r="AM59" s="24" t="str">
        <f t="shared" si="23"/>
        <v>1.00000031260059+0.00469212244663724i</v>
      </c>
      <c r="AN59" s="24" t="str">
        <f t="shared" si="24"/>
        <v>-192.628745863751+165.496786486429i</v>
      </c>
      <c r="AO59" s="24">
        <f t="shared" si="6"/>
        <v>253.95869756788451</v>
      </c>
      <c r="AP59" s="24">
        <f t="shared" si="7"/>
        <v>2.4318110684511129</v>
      </c>
      <c r="AQ59" s="24">
        <f t="shared" si="8"/>
        <v>139.33251079544812</v>
      </c>
      <c r="AR59" s="24">
        <f t="shared" si="9"/>
        <v>48.095261822406712</v>
      </c>
      <c r="AS59" s="24">
        <f t="shared" si="25"/>
        <v>64.814496075647412</v>
      </c>
      <c r="AT59" s="24">
        <f t="shared" si="26"/>
        <v>138.98396402661743</v>
      </c>
    </row>
    <row r="60" spans="1:46">
      <c r="D60" s="13"/>
      <c r="Y60" s="24">
        <v>58</v>
      </c>
      <c r="Z60" s="24">
        <f t="shared" si="1"/>
        <v>35.424406061290533</v>
      </c>
      <c r="AA60" s="24" t="str">
        <f t="shared" si="10"/>
        <v>222.578107679864i</v>
      </c>
      <c r="AB60" s="24">
        <f t="shared" si="2"/>
        <v>7.8571428571428568</v>
      </c>
      <c r="AD60" s="24" t="str">
        <f t="shared" si="3"/>
        <v>0.999959142886044-0.00637626491574355i</v>
      </c>
      <c r="AE60" s="24" t="str">
        <f t="shared" si="4"/>
        <v>0.999999992652272-0.0000927502939482176i</v>
      </c>
      <c r="AF60" s="24" t="str">
        <f t="shared" si="19"/>
        <v>6.85411825069905-0.044341207120886i</v>
      </c>
      <c r="AG60" s="24">
        <f t="shared" si="5"/>
        <v>6.8542616770309222</v>
      </c>
      <c r="AH60" s="24">
        <f t="shared" si="20"/>
        <v>-6.4691893153043748E-3</v>
      </c>
      <c r="AI60" s="24">
        <f t="shared" si="0"/>
        <v>-0.37065724463806748</v>
      </c>
      <c r="AJ60" s="24">
        <f t="shared" si="21"/>
        <v>16.719213611801724</v>
      </c>
      <c r="AL60" s="24" t="str">
        <f t="shared" si="22"/>
        <v>0.540322329392595-0.498371457602013i</v>
      </c>
      <c r="AM60" s="24" t="str">
        <f t="shared" si="23"/>
        <v>1.00000035352003+0.00498978060015816i</v>
      </c>
      <c r="AN60" s="24" t="str">
        <f t="shared" si="24"/>
        <v>-182.476312708153+166.631353058861i</v>
      </c>
      <c r="AO60" s="24">
        <f t="shared" si="6"/>
        <v>247.11052693438705</v>
      </c>
      <c r="AP60" s="24">
        <f t="shared" si="7"/>
        <v>2.4015503918736045</v>
      </c>
      <c r="AQ60" s="24">
        <f t="shared" si="8"/>
        <v>137.59870174234649</v>
      </c>
      <c r="AR60" s="24">
        <f t="shared" si="9"/>
        <v>47.857824935733611</v>
      </c>
      <c r="AS60" s="24">
        <f t="shared" si="25"/>
        <v>64.577038547535338</v>
      </c>
      <c r="AT60" s="24">
        <f t="shared" si="26"/>
        <v>137.22804449770842</v>
      </c>
    </row>
    <row r="61" spans="1:46">
      <c r="D61" s="13"/>
      <c r="Y61" s="24">
        <v>59</v>
      </c>
      <c r="Z61" s="24">
        <f t="shared" si="1"/>
        <v>37.67165419268462</v>
      </c>
      <c r="AA61" s="24" t="str">
        <f t="shared" si="10"/>
        <v>236.697984120626i</v>
      </c>
      <c r="AB61" s="24">
        <f t="shared" si="2"/>
        <v>7.8571428571428568</v>
      </c>
      <c r="AD61" s="24" t="str">
        <f t="shared" si="3"/>
        <v>0.999953794935729-0.00678072500634674i</v>
      </c>
      <c r="AE61" s="24" t="str">
        <f t="shared" si="4"/>
        <v>0.999999991690454-0.0000986341730346887i</v>
      </c>
      <c r="AF61" s="24" t="str">
        <f t="shared" si="19"/>
        <v>6.85408105649894-0.0471538644854626i</v>
      </c>
      <c r="AG61" s="24">
        <f t="shared" si="5"/>
        <v>6.8542432562605731</v>
      </c>
      <c r="AH61" s="24">
        <f t="shared" si="20"/>
        <v>-6.8795685647388052E-3</v>
      </c>
      <c r="AI61" s="24">
        <f t="shared" si="0"/>
        <v>-0.39417024363040681</v>
      </c>
      <c r="AJ61" s="24">
        <f t="shared" si="21"/>
        <v>16.719190268515337</v>
      </c>
      <c r="AL61" s="24" t="str">
        <f t="shared" si="22"/>
        <v>0.509655427460869-0.499906764027601i</v>
      </c>
      <c r="AM61" s="24" t="str">
        <f t="shared" si="23"/>
        <v>1.00000039979582+0.00530632154616191i</v>
      </c>
      <c r="AN61" s="24" t="str">
        <f t="shared" si="24"/>
        <v>-172.222789288974+167.144693177354i</v>
      </c>
      <c r="AO61" s="24">
        <f t="shared" si="6"/>
        <v>239.99591164814899</v>
      </c>
      <c r="AP61" s="24">
        <f t="shared" si="7"/>
        <v>2.3711567874755968</v>
      </c>
      <c r="AQ61" s="24">
        <f t="shared" si="8"/>
        <v>135.8572764861504</v>
      </c>
      <c r="AR61" s="24">
        <f t="shared" si="9"/>
        <v>47.604076870584436</v>
      </c>
      <c r="AS61" s="24">
        <f t="shared" si="25"/>
        <v>64.323267139099769</v>
      </c>
      <c r="AT61" s="24">
        <f t="shared" si="26"/>
        <v>135.46310624251998</v>
      </c>
    </row>
    <row r="62" spans="1:46">
      <c r="D62" s="13"/>
      <c r="Y62" s="24">
        <v>60</v>
      </c>
      <c r="Z62" s="24">
        <f t="shared" si="1"/>
        <v>40.061462912259522</v>
      </c>
      <c r="AA62" s="24" t="str">
        <f t="shared" si="10"/>
        <v>251.713595154429i</v>
      </c>
      <c r="AB62" s="24">
        <f t="shared" si="2"/>
        <v>7.8571428571428568</v>
      </c>
      <c r="AD62" s="24" t="str">
        <f t="shared" si="3"/>
        <v>0.999947747007663-0.0072108357910527i</v>
      </c>
      <c r="AE62" s="24" t="str">
        <f t="shared" si="4"/>
        <v>0.999999990602733-0.000104891312739696i</v>
      </c>
      <c r="AF62" s="24" t="str">
        <f t="shared" si="19"/>
        <v>6.85403899405754-0.0501448994281759i</v>
      </c>
      <c r="AG62" s="24">
        <f t="shared" si="5"/>
        <v>6.8542224243892145</v>
      </c>
      <c r="AH62" s="24">
        <f t="shared" si="20"/>
        <v>-7.3159789175632024E-3</v>
      </c>
      <c r="AI62" s="24">
        <f t="shared" si="0"/>
        <v>-0.41917471498305992</v>
      </c>
      <c r="AJ62" s="24">
        <f t="shared" si="21"/>
        <v>16.719163869742523</v>
      </c>
      <c r="AL62" s="24" t="str">
        <f t="shared" si="22"/>
        <v>0.478915681551441-0.499555253716303i</v>
      </c>
      <c r="AM62" s="24" t="str">
        <f t="shared" si="23"/>
        <v>1.00000045212912+0.00564294316827236i</v>
      </c>
      <c r="AN62" s="24" t="str">
        <f t="shared" si="24"/>
        <v>-161.944910379382+167.027173884702i</v>
      </c>
      <c r="AO62" s="24">
        <f t="shared" si="6"/>
        <v>232.64614936357006</v>
      </c>
      <c r="AP62" s="24">
        <f t="shared" si="7"/>
        <v>2.3407467987929507</v>
      </c>
      <c r="AQ62" s="24">
        <f t="shared" si="8"/>
        <v>134.11491247959418</v>
      </c>
      <c r="AR62" s="24">
        <f t="shared" si="9"/>
        <v>47.333917374308747</v>
      </c>
      <c r="AS62" s="24">
        <f t="shared" si="25"/>
        <v>64.05308124405127</v>
      </c>
      <c r="AT62" s="24">
        <f t="shared" si="26"/>
        <v>133.69573776461112</v>
      </c>
    </row>
    <row r="63" spans="1:46">
      <c r="D63" s="13"/>
      <c r="Y63" s="24">
        <v>61</v>
      </c>
      <c r="Z63" s="24">
        <f t="shared" si="1"/>
        <v>42.602875957116908</v>
      </c>
      <c r="AA63" s="24" t="str">
        <f t="shared" si="10"/>
        <v>267.681764257351i</v>
      </c>
      <c r="AB63" s="24">
        <f t="shared" si="2"/>
        <v>7.8571428571428568</v>
      </c>
      <c r="AD63" s="24" t="str">
        <f t="shared" si="3"/>
        <v>0.999940907494035-0.00766822299856901i</v>
      </c>
      <c r="AE63" s="24" t="str">
        <f t="shared" si="4"/>
        <v>0.99999998937263-0.000111545391910858i</v>
      </c>
      <c r="AF63" s="24" t="str">
        <f t="shared" si="19"/>
        <v>6.85399142625613-0.0533256174333668i</v>
      </c>
      <c r="AG63" s="24">
        <f t="shared" si="5"/>
        <v>6.8541988658534834</v>
      </c>
      <c r="AH63" s="24">
        <f t="shared" si="20"/>
        <v>-7.7800712297774605E-3</v>
      </c>
      <c r="AI63" s="24">
        <f t="shared" si="0"/>
        <v>-0.44576524577740462</v>
      </c>
      <c r="AJ63" s="24">
        <f t="shared" si="21"/>
        <v>16.719134015562076</v>
      </c>
      <c r="AL63" s="24" t="str">
        <f t="shared" si="22"/>
        <v>0.448334780460492-0.497323541660692i</v>
      </c>
      <c r="AM63" s="24" t="str">
        <f t="shared" si="23"/>
        <v>1.00000051131284+0.00600091934124995i</v>
      </c>
      <c r="AN63" s="24" t="str">
        <f t="shared" si="24"/>
        <v>-151.720141466497+166.281006946219i</v>
      </c>
      <c r="AO63" s="24">
        <f t="shared" si="6"/>
        <v>225.09636735776613</v>
      </c>
      <c r="AP63" s="24">
        <f t="shared" si="7"/>
        <v>2.3104377305151993</v>
      </c>
      <c r="AQ63" s="24">
        <f t="shared" si="8"/>
        <v>132.37833078630518</v>
      </c>
      <c r="AR63" s="24">
        <f t="shared" si="9"/>
        <v>47.047369726824535</v>
      </c>
      <c r="AS63" s="24">
        <f t="shared" si="25"/>
        <v>63.766503742386611</v>
      </c>
      <c r="AT63" s="24">
        <f t="shared" si="26"/>
        <v>131.93256554052778</v>
      </c>
    </row>
    <row r="64" spans="1:46">
      <c r="C64" s="23"/>
      <c r="D64" s="13"/>
      <c r="Y64" s="24">
        <v>62</v>
      </c>
      <c r="Z64" s="24">
        <f t="shared" si="1"/>
        <v>45.305510779589277</v>
      </c>
      <c r="AA64" s="24" t="str">
        <f t="shared" si="10"/>
        <v>284.662919664582i</v>
      </c>
      <c r="AB64" s="24">
        <f t="shared" si="2"/>
        <v>7.8571428571428568</v>
      </c>
      <c r="AD64" s="24" t="str">
        <f t="shared" si="3"/>
        <v>0.999933172800955-0.00815461518721673i</v>
      </c>
      <c r="AE64" s="24" t="str">
        <f t="shared" si="4"/>
        <v>0.999999987981507-0.000118621591530305i</v>
      </c>
      <c r="AF64" s="24" t="str">
        <f t="shared" si="19"/>
        <v>6.8539376326146-0.0567080390728364i</v>
      </c>
      <c r="AG64" s="24">
        <f t="shared" si="5"/>
        <v>6.8541722237966933</v>
      </c>
      <c r="AH64" s="24">
        <f t="shared" si="20"/>
        <v>-8.2736009825820408E-3</v>
      </c>
      <c r="AI64" s="24">
        <f t="shared" si="0"/>
        <v>-0.47404241767724187</v>
      </c>
      <c r="AJ64" s="24">
        <f t="shared" si="21"/>
        <v>16.719100253714881</v>
      </c>
      <c r="AL64" s="24" t="str">
        <f t="shared" si="22"/>
        <v>0.418139657250669-0.493253367231246i</v>
      </c>
      <c r="AM64" s="24" t="str">
        <f t="shared" si="23"/>
        <v>1.00000057824373+0.00638160475170119i</v>
      </c>
      <c r="AN64" s="24" t="str">
        <f t="shared" si="24"/>
        <v>-141.624357950996+164.920148016331i</v>
      </c>
      <c r="AO64" s="24">
        <f t="shared" si="6"/>
        <v>217.38471424357408</v>
      </c>
      <c r="AP64" s="24">
        <f t="shared" si="7"/>
        <v>2.2803454753129611</v>
      </c>
      <c r="AQ64" s="24">
        <f t="shared" si="8"/>
        <v>130.65417156718632</v>
      </c>
      <c r="AR64" s="24">
        <f t="shared" si="9"/>
        <v>46.744580054153523</v>
      </c>
      <c r="AS64" s="24">
        <f t="shared" si="25"/>
        <v>63.463680307868401</v>
      </c>
      <c r="AT64" s="24">
        <f t="shared" si="26"/>
        <v>130.18012914950907</v>
      </c>
    </row>
    <row r="65" spans="3:46">
      <c r="C65" s="23"/>
      <c r="D65" s="13"/>
      <c r="Y65" s="24">
        <v>63</v>
      </c>
      <c r="Z65" s="24">
        <f t="shared" si="1"/>
        <v>48.179594942500358</v>
      </c>
      <c r="AA65" s="24" t="str">
        <f t="shared" si="10"/>
        <v>302.721323048582i</v>
      </c>
      <c r="AB65" s="24">
        <f t="shared" si="2"/>
        <v>7.8571428571428568</v>
      </c>
      <c r="AD65" s="24" t="str">
        <f t="shared" si="3"/>
        <v>0.999924425780972-0.00867185020681842i</v>
      </c>
      <c r="AE65" s="24" t="str">
        <f t="shared" si="4"/>
        <v>0.999999986408285-0.000126146690006725i</v>
      </c>
      <c r="AF65" s="24" t="str">
        <f t="shared" si="19"/>
        <v>6.85387679838982-0.0603049449424166i</v>
      </c>
      <c r="AG65" s="24">
        <f t="shared" si="5"/>
        <v>6.8541420946673393</v>
      </c>
      <c r="AH65" s="24">
        <f t="shared" si="20"/>
        <v>-8.7984348990010428E-3</v>
      </c>
      <c r="AI65" s="24">
        <f t="shared" si="0"/>
        <v>-0.50411318603337252</v>
      </c>
      <c r="AJ65" s="24">
        <f t="shared" si="21"/>
        <v>16.719062072756032</v>
      </c>
      <c r="AL65" s="24" t="str">
        <f t="shared" si="22"/>
        <v>0.388545847765808-0.48741970820819i</v>
      </c>
      <c r="AM65" s="24" t="str">
        <f t="shared" si="23"/>
        <v>1.00000065393586+0.00678644002460232i</v>
      </c>
      <c r="AN65" s="24" t="str">
        <f t="shared" si="24"/>
        <v>-131.729624556802+162.96966606248i</v>
      </c>
      <c r="AO65" s="24">
        <f t="shared" si="6"/>
        <v>209.55144008665809</v>
      </c>
      <c r="AP65" s="24">
        <f t="shared" si="7"/>
        <v>2.2505824087213266</v>
      </c>
      <c r="AQ65" s="24">
        <f t="shared" si="8"/>
        <v>128.94887346611884</v>
      </c>
      <c r="AR65" s="24">
        <f t="shared" si="9"/>
        <v>46.425812995073706</v>
      </c>
      <c r="AS65" s="24">
        <f t="shared" si="25"/>
        <v>63.144875067829737</v>
      </c>
      <c r="AT65" s="24">
        <f t="shared" si="26"/>
        <v>128.44476028008546</v>
      </c>
    </row>
    <row r="66" spans="3:46">
      <c r="C66" s="23"/>
      <c r="D66" s="13"/>
      <c r="Y66" s="24">
        <v>64</v>
      </c>
      <c r="Z66" s="24">
        <f t="shared" si="1"/>
        <v>51.236004823262483</v>
      </c>
      <c r="AA66" s="24" t="str">
        <f t="shared" si="10"/>
        <v>321.925312704105i</v>
      </c>
      <c r="AB66" s="24">
        <f t="shared" si="2"/>
        <v>7.8571428571428568</v>
      </c>
      <c r="AD66" s="24" t="str">
        <f t="shared" si="3"/>
        <v>0.999914533960846-0.00922188205808096i</v>
      </c>
      <c r="AE66" s="24" t="str">
        <f t="shared" si="4"/>
        <v>0.999999984629129-0.000134149164512517i</v>
      </c>
      <c r="AF66" s="24" t="str">
        <f t="shared" si="19"/>
        <v>6.85380800225008-0.0641299233627489i</v>
      </c>
      <c r="AG66" s="24">
        <f t="shared" si="5"/>
        <v>6.8541080221118298</v>
      </c>
      <c r="AH66" s="24">
        <f t="shared" si="20"/>
        <v>-9.3565579760827178E-3</v>
      </c>
      <c r="AI66" s="24">
        <f t="shared" ref="AI66:AI129" si="27">AH66/(PI())*180</f>
        <v>-0.5360912827990072</v>
      </c>
      <c r="AJ66" s="24">
        <f t="shared" si="21"/>
        <v>16.719018894311763</v>
      </c>
      <c r="AL66" s="24" t="str">
        <f t="shared" si="22"/>
        <v>0.359751554673101-0.47992746700245i</v>
      </c>
      <c r="AM66" s="24" t="str">
        <f t="shared" si="23"/>
        <v>1.00000073953611+0.00721695717503778i</v>
      </c>
      <c r="AN66" s="24" t="str">
        <f t="shared" si="24"/>
        <v>-122.102210634932+160.464635398428i</v>
      </c>
      <c r="AO66" s="24">
        <f t="shared" si="6"/>
        <v>201.63791571896326</v>
      </c>
      <c r="AP66" s="24">
        <f t="shared" si="7"/>
        <v>2.2212554453683908</v>
      </c>
      <c r="AQ66" s="24">
        <f t="shared" si="8"/>
        <v>127.26856224006079</v>
      </c>
      <c r="AR66" s="24">
        <f t="shared" si="9"/>
        <v>46.091443991903162</v>
      </c>
      <c r="AS66" s="24">
        <f t="shared" si="25"/>
        <v>62.810462886214921</v>
      </c>
      <c r="AT66" s="24">
        <f t="shared" si="26"/>
        <v>126.73247095726178</v>
      </c>
    </row>
    <row r="67" spans="3:46">
      <c r="C67" s="23"/>
      <c r="D67" s="13"/>
      <c r="Y67" s="24">
        <v>65</v>
      </c>
      <c r="Z67" s="24">
        <f t="shared" ref="Z67:Z130" si="28">10^(LOG($G$6/$G$5,10)*Y67/200)</f>
        <v>54.486306773278585</v>
      </c>
      <c r="AA67" s="24" t="str">
        <f t="shared" si="10"/>
        <v>342.347562160344i</v>
      </c>
      <c r="AB67" s="24">
        <f t="shared" ref="AB67:AB130" si="29">$B$23/$G$3</f>
        <v>7.8571428571428568</v>
      </c>
      <c r="AD67" s="24" t="str">
        <f t="shared" ref="AD67:AD130" si="30">IMDIV(IMSUM(1,IMDIV(AA67,$G$12)),IMSUM(1,IMDIV(AA67,$G$14)))</f>
        <v>0.999903347537844-0.00980678817217169i</v>
      </c>
      <c r="AE67" s="24" t="str">
        <f t="shared" ref="AE67:AE130" si="31">IMDIV(1,IMSUM(1,IMDIV(AA67,IMPRODUCT($G$10*$G$11)),IMDIV(IMPRODUCT(AA67,AA67),$G$10*$G$10)))</f>
        <v>0.999999982617082-0.000142659298749509i</v>
      </c>
      <c r="AF67" s="24" t="str">
        <f t="shared" si="19"/>
        <v>6.85373020233964-0.0681974210021136i</v>
      </c>
      <c r="AG67" s="24">
        <f t="shared" ref="AG67:AG130" si="32">IMABS(AF67)</f>
        <v>6.8540694900689392</v>
      </c>
      <c r="AH67" s="24">
        <f t="shared" si="20"/>
        <v>-9.9500809581957641E-3</v>
      </c>
      <c r="AI67" s="24">
        <f t="shared" si="27"/>
        <v>-0.57009764471810342</v>
      </c>
      <c r="AJ67" s="24">
        <f t="shared" si="21"/>
        <v>16.71897006432371</v>
      </c>
      <c r="AL67" s="24" t="str">
        <f t="shared" si="22"/>
        <v>0.331932749148117-0.470906996328458i</v>
      </c>
      <c r="AM67" s="24" t="str">
        <f t="shared" si="23"/>
        <v>1.00000083634142+0.00767478540578351i</v>
      </c>
      <c r="AN67" s="24" t="str">
        <f t="shared" si="24"/>
        <v>-112.800952404723+157.448639686558i</v>
      </c>
      <c r="AO67" s="24">
        <f t="shared" ref="AO67:AO130" si="33">IMABS(AN67)</f>
        <v>193.68564480249989</v>
      </c>
      <c r="AP67" s="24">
        <f t="shared" ref="AP67:AP130" si="34">IMARGUMENT(AN67)</f>
        <v>2.1924643366605743</v>
      </c>
      <c r="AQ67" s="24">
        <f t="shared" ref="AQ67:AQ130" si="35">AP67/(PI())*180</f>
        <v>125.61895322360056</v>
      </c>
      <c r="AR67" s="24">
        <f t="shared" ref="AR67:AR130" si="36">20*LOG(AO67,10)</f>
        <v>45.741948675188731</v>
      </c>
      <c r="AS67" s="24">
        <f t="shared" si="25"/>
        <v>62.460918739512437</v>
      </c>
      <c r="AT67" s="24">
        <f t="shared" si="26"/>
        <v>125.04885557888245</v>
      </c>
    </row>
    <row r="68" spans="3:46">
      <c r="D68" s="13"/>
      <c r="Y68" s="24">
        <v>66</v>
      </c>
      <c r="Z68" s="24">
        <f t="shared" si="28"/>
        <v>57.94280088840825</v>
      </c>
      <c r="AA68" s="24" t="str">
        <f t="shared" ref="AA68:AA131" si="37">IMPRODUCT(COMPLEX(0,1),2*PI()*Z68)</f>
        <v>364.065355198879i</v>
      </c>
      <c r="AB68" s="24">
        <f t="shared" si="29"/>
        <v>7.8571428571428568</v>
      </c>
      <c r="AD68" s="24" t="str">
        <f t="shared" si="30"/>
        <v>0.999890697114463-0.0104287771341193i</v>
      </c>
      <c r="AE68" s="24" t="str">
        <f t="shared" si="31"/>
        <v>0.999999980341656-0.000151709297551069i</v>
      </c>
      <c r="AF68" s="24" t="str">
        <f t="shared" si="19"/>
        <v>6.853642220524-0.0725227965856422i</v>
      </c>
      <c r="AG68" s="24">
        <f t="shared" si="32"/>
        <v>6.8540259149622234</v>
      </c>
      <c r="AH68" s="24">
        <f t="shared" ref="AH68:AH99" si="38">IMARGUMENT(AF68)</f>
        <v>-1.0581248278389481E-2</v>
      </c>
      <c r="AI68" s="24">
        <f t="shared" si="27"/>
        <v>-0.60626086833178561</v>
      </c>
      <c r="AJ68" s="24">
        <f t="shared" ref="AJ68:AJ99" si="39">20*LOG(AG68,10)</f>
        <v>16.718914843148671</v>
      </c>
      <c r="AL68" s="24" t="str">
        <f t="shared" ref="AL68:AL99" si="40">IMDIV(1,IMSUM(1,IMDIV(AA68,wp2e)))</f>
        <v>0.305239538476443-0.46050880841427i</v>
      </c>
      <c r="AM68" s="24" t="str">
        <f t="shared" ref="AM68:AM99" si="41">IMDIV(IMSUM(1,IMDIV(AA68,wz2e)),IMSUM(1,IMDIV(AA68,wp1e)))</f>
        <v>1.00000094581856+0.00816165727267475i</v>
      </c>
      <c r="AN68" s="24" t="str">
        <f t="shared" ref="AN68:AN99" si="42">IMPRODUCT($AK$2,AL68,AM68)</f>
        <v>-103.876038456154+153.972002954731i</v>
      </c>
      <c r="AO68" s="24">
        <f t="shared" si="33"/>
        <v>185.73531990237097</v>
      </c>
      <c r="AP68" s="24">
        <f t="shared" si="34"/>
        <v>2.1643002710378871</v>
      </c>
      <c r="AQ68" s="24">
        <f t="shared" si="35"/>
        <v>124.00527112949109</v>
      </c>
      <c r="AR68" s="24">
        <f t="shared" si="36"/>
        <v>45.377889962801447</v>
      </c>
      <c r="AS68" s="24">
        <f t="shared" ref="AS68:AS99" si="43">AR68+AJ68</f>
        <v>62.096804805950114</v>
      </c>
      <c r="AT68" s="24">
        <f t="shared" ref="AT68:AT99" si="44">AQ68+AI68</f>
        <v>123.3990102611593</v>
      </c>
    </row>
    <row r="69" spans="3:46">
      <c r="D69" s="13"/>
      <c r="Y69" s="24">
        <v>67</v>
      </c>
      <c r="Z69" s="24">
        <f t="shared" si="28"/>
        <v>61.61856755613799</v>
      </c>
      <c r="AA69" s="24" t="str">
        <f t="shared" si="37"/>
        <v>387.160878318179i</v>
      </c>
      <c r="AB69" s="24">
        <f t="shared" si="29"/>
        <v>7.8571428571428568</v>
      </c>
      <c r="AD69" s="24" t="str">
        <f t="shared" si="30"/>
        <v>0.999876391137482-0.0110901968745572i</v>
      </c>
      <c r="AE69" s="24" t="str">
        <f t="shared" si="31"/>
        <v>0.999999977768379-0.000161333408754287i</v>
      </c>
      <c r="AF69" s="24" t="str">
        <f t="shared" si="19"/>
        <v>6.853542724579-0.0771223778614098i</v>
      </c>
      <c r="AG69" s="24">
        <f t="shared" si="32"/>
        <v>6.8539766368726944</v>
      </c>
      <c r="AH69" s="24">
        <f t="shared" si="38"/>
        <v>-1.1252446496290517E-2</v>
      </c>
      <c r="AI69" s="24">
        <f t="shared" si="27"/>
        <v>-0.64471769343421714</v>
      </c>
      <c r="AJ69" s="24">
        <f t="shared" si="39"/>
        <v>16.718852394364379</v>
      </c>
      <c r="AL69" s="24" t="str">
        <f t="shared" si="40"/>
        <v>0.279793909275142-0.448897847630923i</v>
      </c>
      <c r="AM69" s="24" t="str">
        <f t="shared" si="41"/>
        <v>1.00000106962627+0.00867941524108976i</v>
      </c>
      <c r="AN69" s="24" t="str">
        <f t="shared" si="42"/>
        <v>-95.3682551926287+150.089874641714i</v>
      </c>
      <c r="AO69" s="24">
        <f t="shared" si="33"/>
        <v>177.82596708144672</v>
      </c>
      <c r="AP69" s="24">
        <f t="shared" si="34"/>
        <v>2.1368448154316875</v>
      </c>
      <c r="AQ69" s="24">
        <f t="shared" si="35"/>
        <v>122.43218939864707</v>
      </c>
      <c r="AR69" s="24">
        <f t="shared" si="36"/>
        <v>44.999903584512211</v>
      </c>
      <c r="AS69" s="24">
        <f t="shared" si="43"/>
        <v>61.718755978876587</v>
      </c>
      <c r="AT69" s="24">
        <f t="shared" si="44"/>
        <v>121.78747170521285</v>
      </c>
    </row>
    <row r="70" spans="3:46">
      <c r="D70" s="13"/>
      <c r="Y70" s="24">
        <v>68</v>
      </c>
      <c r="Z70" s="24">
        <f t="shared" si="28"/>
        <v>65.527516955603716</v>
      </c>
      <c r="AA70" s="24" t="str">
        <f t="shared" si="37"/>
        <v>411.72153175141i</v>
      </c>
      <c r="AB70" s="24">
        <f t="shared" si="29"/>
        <v>7.8571428571428568</v>
      </c>
      <c r="AD70" s="24" t="str">
        <f t="shared" si="30"/>
        <v>0.999860213002923-0.0117935433551486i</v>
      </c>
      <c r="AE70" s="24" t="str">
        <f t="shared" si="31"/>
        <v>0.999999974858258-0.000171568052803393i</v>
      </c>
      <c r="AF70" s="24" t="str">
        <f t="shared" si="19"/>
        <v>6.85343020805611-0.0820135219996103i</v>
      </c>
      <c r="AG70" s="24">
        <f t="shared" si="32"/>
        <v>6.8539209095587603</v>
      </c>
      <c r="AH70" s="24">
        <f t="shared" si="38"/>
        <v>-1.1966213262569159E-2</v>
      </c>
      <c r="AI70" s="24">
        <f t="shared" si="27"/>
        <v>-0.68561351669868398</v>
      </c>
      <c r="AJ70" s="24">
        <f t="shared" si="39"/>
        <v>16.718781772112202</v>
      </c>
      <c r="AL70" s="24" t="str">
        <f t="shared" si="40"/>
        <v>0.255688838894842-0.436247700921678i</v>
      </c>
      <c r="AM70" s="24" t="str">
        <f t="shared" si="41"/>
        <v>1.00000120964041+0.00923001865835985i</v>
      </c>
      <c r="AN70" s="24" t="str">
        <f t="shared" si="42"/>
        <v>-87.3086897269781+145.860293845926i</v>
      </c>
      <c r="AO70" s="24">
        <f t="shared" si="33"/>
        <v>169.99421349758234</v>
      </c>
      <c r="AP70" s="24">
        <f t="shared" si="34"/>
        <v>2.1101692131611198</v>
      </c>
      <c r="AQ70" s="24">
        <f t="shared" si="35"/>
        <v>120.90378997257393</v>
      </c>
      <c r="AR70" s="24">
        <f t="shared" si="36"/>
        <v>44.608682770054848</v>
      </c>
      <c r="AS70" s="24">
        <f t="shared" si="43"/>
        <v>61.32746454216705</v>
      </c>
      <c r="AT70" s="24">
        <f t="shared" si="44"/>
        <v>120.21817645587525</v>
      </c>
    </row>
    <row r="71" spans="3:46">
      <c r="D71" s="13"/>
      <c r="Y71" s="24">
        <v>69</v>
      </c>
      <c r="Z71" s="24">
        <f t="shared" si="28"/>
        <v>69.684441697788372</v>
      </c>
      <c r="AA71" s="24" t="str">
        <f t="shared" si="37"/>
        <v>437.840260214556i</v>
      </c>
      <c r="AB71" s="24">
        <f t="shared" si="29"/>
        <v>7.8571428571428568</v>
      </c>
      <c r="AD71" s="24" t="str">
        <f t="shared" si="30"/>
        <v>0.999841917783472-0.0125414697737546i</v>
      </c>
      <c r="AE71" s="24" t="str">
        <f t="shared" si="31"/>
        <v>0.999999971567202-0.000182451960574893i</v>
      </c>
      <c r="AF71" s="24" t="str">
        <f t="shared" si="19"/>
        <v>6.85330296752225-0.0872146796060465i</v>
      </c>
      <c r="AG71" s="24">
        <f t="shared" si="32"/>
        <v>6.8538578891736623</v>
      </c>
      <c r="AH71" s="24">
        <f t="shared" si="38"/>
        <v>-1.2725246841614621E-2</v>
      </c>
      <c r="AI71" s="24">
        <f t="shared" si="27"/>
        <v>-0.7291029372866985</v>
      </c>
      <c r="AJ71" s="24">
        <f t="shared" si="39"/>
        <v>16.718701906786396</v>
      </c>
      <c r="AL71" s="24" t="str">
        <f t="shared" si="40"/>
        <v>0.232988665800955-0.422735079463777i</v>
      </c>
      <c r="AM71" s="24" t="str">
        <f t="shared" si="41"/>
        <v>1.00000136798241+0.00981555116849143i</v>
      </c>
      <c r="AN71" s="24" t="str">
        <f t="shared" si="42"/>
        <v>-79.7188537189575+141.342344261189i</v>
      </c>
      <c r="AO71" s="24">
        <f t="shared" si="33"/>
        <v>162.27370064034719</v>
      </c>
      <c r="AP71" s="24">
        <f t="shared" si="34"/>
        <v>2.0843340315790204</v>
      </c>
      <c r="AQ71" s="24">
        <f t="shared" si="35"/>
        <v>119.42354310496553</v>
      </c>
      <c r="AR71" s="24">
        <f t="shared" si="36"/>
        <v>44.204962806596399</v>
      </c>
      <c r="AS71" s="24">
        <f t="shared" si="43"/>
        <v>60.923664713382792</v>
      </c>
      <c r="AT71" s="24">
        <f t="shared" si="44"/>
        <v>118.69444016767883</v>
      </c>
    </row>
    <row r="72" spans="3:46">
      <c r="D72" s="13"/>
      <c r="Y72" s="24">
        <v>70</v>
      </c>
      <c r="Z72" s="24">
        <f t="shared" si="28"/>
        <v>74.105072805100434</v>
      </c>
      <c r="AA72" s="24" t="str">
        <f t="shared" si="37"/>
        <v>465.615904636481i</v>
      </c>
      <c r="AB72" s="24">
        <f t="shared" si="29"/>
        <v>7.8571428571428568</v>
      </c>
      <c r="AD72" s="24" t="str">
        <f t="shared" si="30"/>
        <v>0.99982122852936-0.0133367963160021i</v>
      </c>
      <c r="AE72" s="24" t="str">
        <f t="shared" si="31"/>
        <v>0.999999967845348-0.000194026319945925i</v>
      </c>
      <c r="AF72" s="24" t="str">
        <f t="shared" si="19"/>
        <v>6.85315907683293-0.0927454625352974i</v>
      </c>
      <c r="AG72" s="24">
        <f t="shared" si="32"/>
        <v>6.8537866215106575</v>
      </c>
      <c r="AH72" s="24">
        <f t="shared" si="38"/>
        <v>-1.3532416225712681E-2</v>
      </c>
      <c r="AI72" s="24">
        <f t="shared" si="27"/>
        <v>-0.77535033634769157</v>
      </c>
      <c r="AJ72" s="24">
        <f t="shared" si="39"/>
        <v>16.718611588853925</v>
      </c>
      <c r="AL72" s="24" t="str">
        <f t="shared" si="40"/>
        <v>0.211730533017542-0.408534838668197i</v>
      </c>
      <c r="AM72" s="24" t="str">
        <f t="shared" si="41"/>
        <v>1.00000154705138+0.0104382285972583i</v>
      </c>
      <c r="AN72" s="24" t="str">
        <f t="shared" si="42"/>
        <v>-72.6111659928082+136.59448910658i</v>
      </c>
      <c r="AO72" s="24">
        <f t="shared" si="33"/>
        <v>154.69465369275937</v>
      </c>
      <c r="AP72" s="24">
        <f t="shared" si="34"/>
        <v>2.0593891342108743</v>
      </c>
      <c r="AQ72" s="24">
        <f t="shared" si="35"/>
        <v>117.99430576538376</v>
      </c>
      <c r="AR72" s="24">
        <f t="shared" si="36"/>
        <v>43.789506091459209</v>
      </c>
      <c r="AS72" s="24">
        <f t="shared" si="43"/>
        <v>60.508117680313134</v>
      </c>
      <c r="AT72" s="24">
        <f t="shared" si="44"/>
        <v>117.21895542903607</v>
      </c>
    </row>
    <row r="73" spans="3:46">
      <c r="D73" s="13"/>
      <c r="Y73" s="24">
        <v>71</v>
      </c>
      <c r="Z73" s="24">
        <f t="shared" si="28"/>
        <v>78.806139242176371</v>
      </c>
      <c r="AA73" s="24" t="str">
        <f t="shared" si="37"/>
        <v>495.153576201991i</v>
      </c>
      <c r="AB73" s="24">
        <f t="shared" si="29"/>
        <v>7.8571428571428568</v>
      </c>
      <c r="AD73" s="24" t="str">
        <f t="shared" si="30"/>
        <v>0.999797832087357-0.0141825204803203i</v>
      </c>
      <c r="AE73" s="24" t="str">
        <f t="shared" si="31"/>
        <v>0.999999963636302-0.000206334931660527i</v>
      </c>
      <c r="AF73" s="24" t="str">
        <f t="shared" si="19"/>
        <v>6.85299635805394-0.0986267156917974i</v>
      </c>
      <c r="AG73" s="24">
        <f t="shared" si="32"/>
        <v>6.8537060275845452</v>
      </c>
      <c r="AH73" s="24">
        <f t="shared" si="38"/>
        <v>-1.4390771875698869E-2</v>
      </c>
      <c r="AI73" s="24">
        <f t="shared" si="27"/>
        <v>-0.82453049241310861</v>
      </c>
      <c r="AJ73" s="24">
        <f t="shared" si="39"/>
        <v>16.718509450561292</v>
      </c>
      <c r="AL73" s="24" t="str">
        <f t="shared" si="40"/>
        <v>0.191926671556425-0.39381572378677i</v>
      </c>
      <c r="AM73" s="24" t="str">
        <f t="shared" si="41"/>
        <v>1.00000174956049+0.0111004073375029i</v>
      </c>
      <c r="AN73" s="24" t="str">
        <f t="shared" si="42"/>
        <v>-65.9897160051139+131.673148664176i</v>
      </c>
      <c r="AO73" s="24">
        <f t="shared" si="33"/>
        <v>147.28360634359066</v>
      </c>
      <c r="AP73" s="24">
        <f t="shared" si="34"/>
        <v>2.0353739381196201</v>
      </c>
      <c r="AQ73" s="24">
        <f t="shared" si="35"/>
        <v>116.61833638517581</v>
      </c>
      <c r="AR73" s="24">
        <f t="shared" si="36"/>
        <v>43.363088192692949</v>
      </c>
      <c r="AS73" s="24">
        <f t="shared" si="43"/>
        <v>60.081597643254241</v>
      </c>
      <c r="AT73" s="24">
        <f t="shared" si="44"/>
        <v>115.79380589276271</v>
      </c>
    </row>
    <row r="74" spans="3:46">
      <c r="D74" s="13"/>
      <c r="Y74" s="24">
        <v>72</v>
      </c>
      <c r="Z74" s="24">
        <f t="shared" si="28"/>
        <v>83.805431223189501</v>
      </c>
      <c r="AA74" s="24" t="str">
        <f t="shared" si="37"/>
        <v>526.565054123394i</v>
      </c>
      <c r="AB74" s="24">
        <f t="shared" si="29"/>
        <v>7.8571428571428568</v>
      </c>
      <c r="AD74" s="24" t="str">
        <f t="shared" si="30"/>
        <v>0.999771374375489-0.0150818280037045i</v>
      </c>
      <c r="AE74" s="24" t="str">
        <f t="shared" si="31"/>
        <v>0.999999958876292-0.000219424375083593i</v>
      </c>
      <c r="AF74" s="24" t="str">
        <f t="shared" si="19"/>
        <v>6.85281234859775-0.104880593008375i</v>
      </c>
      <c r="AG74" s="24">
        <f t="shared" si="32"/>
        <v>6.8536148873338076</v>
      </c>
      <c r="AH74" s="24">
        <f t="shared" si="38"/>
        <v>-1.5303557124766862E-2</v>
      </c>
      <c r="AI74" s="24">
        <f t="shared" si="27"/>
        <v>-0.87682923478650221</v>
      </c>
      <c r="AJ74" s="24">
        <f t="shared" si="39"/>
        <v>16.71839394525367</v>
      </c>
      <c r="AL74" s="24" t="str">
        <f t="shared" si="40"/>
        <v>0.173567272779157-0.378736946440617i</v>
      </c>
      <c r="AM74" s="24" t="str">
        <f t="shared" si="41"/>
        <v>1.00000197857806+0.0118045932663781i</v>
      </c>
      <c r="AN74" s="24" t="str">
        <f t="shared" si="42"/>
        <v>-59.8512242232157+126.631555636577i</v>
      </c>
      <c r="AO74" s="24">
        <f t="shared" si="33"/>
        <v>140.06327114542606</v>
      </c>
      <c r="AP74" s="24">
        <f t="shared" si="34"/>
        <v>2.012317908247899</v>
      </c>
      <c r="AQ74" s="24">
        <f t="shared" si="35"/>
        <v>115.29732318119864</v>
      </c>
      <c r="AR74" s="24">
        <f t="shared" si="36"/>
        <v>42.926485299559538</v>
      </c>
      <c r="AS74" s="24">
        <f t="shared" si="43"/>
        <v>59.644879244813211</v>
      </c>
      <c r="AT74" s="24">
        <f t="shared" si="44"/>
        <v>114.42049394641214</v>
      </c>
    </row>
    <row r="75" spans="3:46">
      <c r="D75" s="13"/>
      <c r="Y75" s="24">
        <v>73</v>
      </c>
      <c r="Z75" s="24">
        <f t="shared" si="28"/>
        <v>89.121867535237712</v>
      </c>
      <c r="AA75" s="24" t="str">
        <f t="shared" si="37"/>
        <v>559.969208645811i</v>
      </c>
      <c r="AB75" s="24">
        <f t="shared" si="29"/>
        <v>7.8571428571428568</v>
      </c>
      <c r="AD75" s="24" t="str">
        <f t="shared" si="30"/>
        <v>0.999741455043018-0.0160381044153522i</v>
      </c>
      <c r="AE75" s="24" t="str">
        <f t="shared" si="31"/>
        <v>0.999999953493196-0.000233344184469759i</v>
      </c>
      <c r="AF75" s="24" t="str">
        <f t="shared" si="19"/>
        <v>6.85260426408445-0.11153063779101i</v>
      </c>
      <c r="AG75" s="24">
        <f t="shared" si="32"/>
        <v>6.8535118211990023</v>
      </c>
      <c r="AH75" s="24">
        <f t="shared" si="38"/>
        <v>-1.6274220283817836E-2</v>
      </c>
      <c r="AI75" s="24">
        <f t="shared" si="27"/>
        <v>-0.93244413712895879</v>
      </c>
      <c r="AJ75" s="24">
        <f t="shared" si="39"/>
        <v>16.718263323994904</v>
      </c>
      <c r="AL75" s="24" t="str">
        <f t="shared" si="40"/>
        <v>0.156623705737744-0.363445622533441i</v>
      </c>
      <c r="AM75" s="24" t="str">
        <f t="shared" si="41"/>
        <v>1.00000223757403+0.0125534512282728i</v>
      </c>
      <c r="AN75" s="24" t="str">
        <f t="shared" si="42"/>
        <v>-54.1861178477752+121.51889850971i</v>
      </c>
      <c r="AO75" s="24">
        <f t="shared" si="33"/>
        <v>133.05253872972955</v>
      </c>
      <c r="AP75" s="24">
        <f t="shared" si="34"/>
        <v>1.9902412363708106</v>
      </c>
      <c r="AQ75" s="24">
        <f t="shared" si="35"/>
        <v>114.03242305694631</v>
      </c>
      <c r="AR75" s="24">
        <f t="shared" si="36"/>
        <v>42.480463311802083</v>
      </c>
      <c r="AS75" s="24">
        <f t="shared" si="43"/>
        <v>59.198726635796987</v>
      </c>
      <c r="AT75" s="24">
        <f t="shared" si="44"/>
        <v>113.09997891981736</v>
      </c>
    </row>
    <row r="76" spans="3:46">
      <c r="D76" s="13"/>
      <c r="Y76" s="24">
        <v>74</v>
      </c>
      <c r="Z76" s="24">
        <f t="shared" si="28"/>
        <v>94.775567132582992</v>
      </c>
      <c r="AA76" s="24" t="str">
        <f t="shared" si="37"/>
        <v>595.492450887058i</v>
      </c>
      <c r="AB76" s="24">
        <f t="shared" si="29"/>
        <v>7.8571428571428568</v>
      </c>
      <c r="AD76" s="24" t="str">
        <f t="shared" si="30"/>
        <v>0.999707621436325-0.0170549472448322i</v>
      </c>
      <c r="AE76" s="24" t="str">
        <f t="shared" si="31"/>
        <v>0.999999947405453-0.000248147036414247i</v>
      </c>
      <c r="AF76" s="24" t="str">
        <f t="shared" ref="AF76:AF139" si="45">IMPRODUCT(AB76,AC$2,AD76,AE76)</f>
        <v>6.85236895637536-0.118601867615191i</v>
      </c>
      <c r="AG76" s="24">
        <f t="shared" si="32"/>
        <v>6.8533952693025482</v>
      </c>
      <c r="AH76" s="24">
        <f t="shared" si="38"/>
        <v>-1.7306427488427954E-2</v>
      </c>
      <c r="AI76" s="24">
        <f t="shared" si="27"/>
        <v>-0.99158525353611515</v>
      </c>
      <c r="AJ76" s="24">
        <f t="shared" si="39"/>
        <v>16.718115609138</v>
      </c>
      <c r="AL76" s="24" t="str">
        <f t="shared" si="40"/>
        <v>0.14105186137815-0.348075040443737i</v>
      </c>
      <c r="AM76" s="24" t="str">
        <f t="shared" si="41"/>
        <v>1.0000025304726+0.013349815119307i</v>
      </c>
      <c r="AN76" s="24" t="str">
        <f t="shared" si="42"/>
        <v>-48.9796489521003+116.379742520639i</v>
      </c>
      <c r="AO76" s="24">
        <f t="shared" si="33"/>
        <v>126.26658497259362</v>
      </c>
      <c r="AP76" s="24">
        <f t="shared" si="34"/>
        <v>1.9691556523920348</v>
      </c>
      <c r="AQ76" s="24">
        <f t="shared" si="35"/>
        <v>112.8243080863938</v>
      </c>
      <c r="AR76" s="24">
        <f t="shared" si="36"/>
        <v>42.025768692490708</v>
      </c>
      <c r="AS76" s="24">
        <f t="shared" si="43"/>
        <v>58.743884301628711</v>
      </c>
      <c r="AT76" s="24">
        <f t="shared" si="44"/>
        <v>111.83272283285768</v>
      </c>
    </row>
    <row r="77" spans="3:46">
      <c r="D77" s="13"/>
      <c r="Y77" s="24">
        <v>75</v>
      </c>
      <c r="Z77" s="24">
        <f t="shared" si="28"/>
        <v>100.78792527267464</v>
      </c>
      <c r="AA77" s="24" t="str">
        <f t="shared" si="37"/>
        <v>633.269211214383i</v>
      </c>
      <c r="AB77" s="24">
        <f t="shared" si="29"/>
        <v>7.8571428571428568</v>
      </c>
      <c r="AD77" s="24" t="str">
        <f t="shared" si="30"/>
        <v>0.999669361781175-0.018136178910486i</v>
      </c>
      <c r="AE77" s="24" t="str">
        <f t="shared" si="31"/>
        <v>0.999999940520824-0.00026388894919498i</v>
      </c>
      <c r="AF77" s="24" t="str">
        <f t="shared" si="45"/>
        <v>6.85210286615669-0.126120863952578i</v>
      </c>
      <c r="AG77" s="24">
        <f t="shared" si="32"/>
        <v>6.8532634679192705</v>
      </c>
      <c r="AH77" s="24">
        <f t="shared" si="38"/>
        <v>-1.8404076329161578E-2</v>
      </c>
      <c r="AI77" s="24">
        <f t="shared" si="27"/>
        <v>-1.0544758994975791</v>
      </c>
      <c r="AJ77" s="24">
        <f t="shared" si="39"/>
        <v>16.717948564449536</v>
      </c>
      <c r="AL77" s="24" t="str">
        <f t="shared" si="40"/>
        <v>0.126795443020665-0.332743683110376i</v>
      </c>
      <c r="AM77" s="24" t="str">
        <f t="shared" si="41"/>
        <v>1.0000028617116+0.0141966986115562i</v>
      </c>
      <c r="AN77" s="24" t="str">
        <f t="shared" si="42"/>
        <v>-44.2129946590515+111.25370269072i</v>
      </c>
      <c r="AO77" s="24">
        <f t="shared" si="33"/>
        <v>119.71706335822157</v>
      </c>
      <c r="AP77" s="24">
        <f t="shared" si="34"/>
        <v>1.9490653191101295</v>
      </c>
      <c r="AQ77" s="24">
        <f t="shared" si="35"/>
        <v>111.67321678032943</v>
      </c>
      <c r="AR77" s="24">
        <f t="shared" si="36"/>
        <v>41.563121102393836</v>
      </c>
      <c r="AS77" s="24">
        <f t="shared" si="43"/>
        <v>58.281069666843372</v>
      </c>
      <c r="AT77" s="24">
        <f t="shared" si="44"/>
        <v>110.61874088083185</v>
      </c>
    </row>
    <row r="78" spans="3:46">
      <c r="D78" s="13"/>
      <c r="Y78" s="24">
        <v>76</v>
      </c>
      <c r="Z78" s="24">
        <f t="shared" si="28"/>
        <v>107.18169448207877</v>
      </c>
      <c r="AA78" s="24" t="str">
        <f t="shared" si="37"/>
        <v>673.442447968409i</v>
      </c>
      <c r="AB78" s="24">
        <f t="shared" si="29"/>
        <v>7.8571428571428568</v>
      </c>
      <c r="AD78" s="24" t="str">
        <f t="shared" si="30"/>
        <v>0.999626097480547-0.0192858603122096i</v>
      </c>
      <c r="AE78" s="24" t="str">
        <f t="shared" si="31"/>
        <v>0.999999932734997-0.000280629494760284i</v>
      </c>
      <c r="AF78" s="24" t="str">
        <f t="shared" si="45"/>
        <v>6.85180196937212-0.134115866695876i</v>
      </c>
      <c r="AG78" s="24">
        <f t="shared" si="32"/>
        <v>6.8531144228876881</v>
      </c>
      <c r="AH78" s="24">
        <f t="shared" si="38"/>
        <v>-1.9571310308530973E-2</v>
      </c>
      <c r="AI78" s="24">
        <f t="shared" si="27"/>
        <v>-1.1213534802197058</v>
      </c>
      <c r="AJ78" s="24">
        <f t="shared" si="39"/>
        <v>16.717759661340953</v>
      </c>
      <c r="AL78" s="24" t="str">
        <f t="shared" si="40"/>
        <v>0.11378906518685-0.31755489892419i</v>
      </c>
      <c r="AM78" s="24" t="str">
        <f t="shared" si="41"/>
        <v>1.0000032363098+0.0150973065575865i</v>
      </c>
      <c r="AN78" s="24" t="str">
        <f t="shared" si="42"/>
        <v>-39.864293238356+106.175333788023i</v>
      </c>
      <c r="AO78" s="24">
        <f t="shared" si="33"/>
        <v>113.4123599101603</v>
      </c>
      <c r="AP78" s="24">
        <f t="shared" si="34"/>
        <v>1.9299677672464874</v>
      </c>
      <c r="AQ78" s="24">
        <f t="shared" si="35"/>
        <v>110.57900765951054</v>
      </c>
      <c r="AR78" s="24">
        <f t="shared" si="36"/>
        <v>41.093207748680911</v>
      </c>
      <c r="AS78" s="24">
        <f t="shared" si="43"/>
        <v>57.81096741002186</v>
      </c>
      <c r="AT78" s="24">
        <f t="shared" si="44"/>
        <v>109.45765417929083</v>
      </c>
    </row>
    <row r="79" spans="3:46">
      <c r="D79" s="13"/>
      <c r="Y79" s="24">
        <v>77</v>
      </c>
      <c r="Z79" s="24">
        <f t="shared" si="28"/>
        <v>113.98107065871142</v>
      </c>
      <c r="AA79" s="24" t="str">
        <f t="shared" si="37"/>
        <v>716.164188459414i</v>
      </c>
      <c r="AB79" s="24">
        <f t="shared" si="29"/>
        <v>7.8571428571428568</v>
      </c>
      <c r="AD79" s="24" t="str">
        <f t="shared" si="30"/>
        <v>0.999577174414459-0.0205083051504729i</v>
      </c>
      <c r="AE79" s="24" t="str">
        <f t="shared" si="31"/>
        <v>0.999999923930005-0.000298432024164336i</v>
      </c>
      <c r="AF79" s="24" t="str">
        <f t="shared" si="45"/>
        <v>6.85146171671435-0.142616873733887i</v>
      </c>
      <c r="AG79" s="24">
        <f t="shared" si="32"/>
        <v>6.8529458795671196</v>
      </c>
      <c r="AH79" s="24">
        <f t="shared" si="38"/>
        <v>-2.0812534169357952E-2</v>
      </c>
      <c r="AI79" s="24">
        <f t="shared" si="27"/>
        <v>-1.1924703688760252</v>
      </c>
      <c r="AJ79" s="24">
        <f t="shared" si="39"/>
        <v>16.717546040701695</v>
      </c>
      <c r="AL79" s="24" t="str">
        <f t="shared" si="40"/>
        <v>0.10196106529767-0.302597102532451i</v>
      </c>
      <c r="AM79" s="24" t="str">
        <f t="shared" si="41"/>
        <v>1.00000365994292+0.0160550471184558i</v>
      </c>
      <c r="AN79" s="24" t="str">
        <f t="shared" si="42"/>
        <v>-35.9095842019781+101.174197466914i</v>
      </c>
      <c r="AO79" s="24">
        <f t="shared" si="33"/>
        <v>107.35788965247529</v>
      </c>
      <c r="AP79" s="24">
        <f t="shared" si="34"/>
        <v>1.9118548344859936</v>
      </c>
      <c r="AQ79" s="24">
        <f t="shared" si="35"/>
        <v>109.54121305772998</v>
      </c>
      <c r="AR79" s="24">
        <f t="shared" si="36"/>
        <v>40.616679318552578</v>
      </c>
      <c r="AS79" s="24">
        <f t="shared" si="43"/>
        <v>57.334225359254276</v>
      </c>
      <c r="AT79" s="24">
        <f t="shared" si="44"/>
        <v>108.34874268885395</v>
      </c>
    </row>
    <row r="80" spans="3:46">
      <c r="D80" s="13"/>
      <c r="Y80" s="24">
        <v>78</v>
      </c>
      <c r="Z80" s="24">
        <f t="shared" si="28"/>
        <v>121.21178463621371</v>
      </c>
      <c r="AA80" s="24" t="str">
        <f t="shared" si="37"/>
        <v>761.596104283274i</v>
      </c>
      <c r="AB80" s="24">
        <f t="shared" si="29"/>
        <v>7.8571428571428568</v>
      </c>
      <c r="AD80" s="24" t="str">
        <f t="shared" si="30"/>
        <v>0.999521853114026-0.0218080949902458i</v>
      </c>
      <c r="AE80" s="24" t="str">
        <f t="shared" si="31"/>
        <v>0.999999913972439-0.000317363907303404i</v>
      </c>
      <c r="AF80" s="24" t="str">
        <f t="shared" si="45"/>
        <v>6.85107696528713-0.151655745706537i</v>
      </c>
      <c r="AG80" s="24">
        <f t="shared" si="32"/>
        <v>6.8527552888961187</v>
      </c>
      <c r="AH80" s="24">
        <f t="shared" si="38"/>
        <v>-2.2132430140590496E-2</v>
      </c>
      <c r="AI80" s="24">
        <f t="shared" si="27"/>
        <v>-1.2680948374239707</v>
      </c>
      <c r="AJ80" s="24">
        <f t="shared" si="39"/>
        <v>16.717304469765029</v>
      </c>
      <c r="AL80" s="24" t="str">
        <f t="shared" si="40"/>
        <v>0.0912359712604027-0.287944384922807i</v>
      </c>
      <c r="AM80" s="24" t="str">
        <f t="shared" si="41"/>
        <v>1.00000413902964+0.017073544661074i</v>
      </c>
      <c r="AN80" s="24" t="str">
        <f t="shared" si="42"/>
        <v>-32.3236333454021+96.2750662508428i</v>
      </c>
      <c r="AO80" s="24">
        <f t="shared" si="33"/>
        <v>101.55641611563576</v>
      </c>
      <c r="AP80" s="24">
        <f t="shared" si="34"/>
        <v>1.8947135797030499</v>
      </c>
      <c r="AQ80" s="24">
        <f t="shared" si="35"/>
        <v>108.55909150310887</v>
      </c>
      <c r="AR80" s="24">
        <f t="shared" si="36"/>
        <v>40.134147327951311</v>
      </c>
      <c r="AS80" s="24">
        <f t="shared" si="43"/>
        <v>56.851451797716337</v>
      </c>
      <c r="AT80" s="24">
        <f t="shared" si="44"/>
        <v>107.2909966656849</v>
      </c>
    </row>
    <row r="81" spans="4:46">
      <c r="D81" s="13"/>
      <c r="Y81" s="24">
        <v>79</v>
      </c>
      <c r="Z81" s="24">
        <f t="shared" si="28"/>
        <v>128.90119955697148</v>
      </c>
      <c r="AA81" s="24" t="str">
        <f t="shared" si="37"/>
        <v>809.910123134187i</v>
      </c>
      <c r="AB81" s="24">
        <f t="shared" si="29"/>
        <v>7.8571428571428568</v>
      </c>
      <c r="AD81" s="24" t="str">
        <f t="shared" si="30"/>
        <v>0.999459297665986-0.0231900950841803i</v>
      </c>
      <c r="AE81" s="24" t="str">
        <f t="shared" si="31"/>
        <v>0.999999902711426-0.000337496787860001i</v>
      </c>
      <c r="AF81" s="24" t="str">
        <f t="shared" si="45"/>
        <v>6.85064190143791-0.161266316039643i</v>
      </c>
      <c r="AG81" s="24">
        <f t="shared" si="32"/>
        <v>6.8525397690510212</v>
      </c>
      <c r="AH81" s="24">
        <f t="shared" si="38"/>
        <v>-2.3535975147684185E-2</v>
      </c>
      <c r="AI81" s="24">
        <f t="shared" si="27"/>
        <v>-1.3485120426870982</v>
      </c>
      <c r="AJ81" s="24">
        <f t="shared" si="39"/>
        <v>16.717031293364002</v>
      </c>
      <c r="AL81" s="24" t="str">
        <f t="shared" si="40"/>
        <v>0.0815366002797321-0.273657419220739i</v>
      </c>
      <c r="AM81" s="24" t="str">
        <f t="shared" si="41"/>
        <v>1.00000468082883+0.0181566534737246i</v>
      </c>
      <c r="AN81" s="24" t="str">
        <f t="shared" si="42"/>
        <v>-29.0806344881812+91.4982263873965i</v>
      </c>
      <c r="AO81" s="24">
        <f t="shared" si="33"/>
        <v>96.008378458728558</v>
      </c>
      <c r="AP81" s="24">
        <f t="shared" si="34"/>
        <v>1.8785271507862527</v>
      </c>
      <c r="AQ81" s="24">
        <f t="shared" si="35"/>
        <v>107.63167744078788</v>
      </c>
      <c r="AR81" s="24">
        <f t="shared" si="36"/>
        <v>39.646182694044739</v>
      </c>
      <c r="AS81" s="24">
        <f t="shared" si="43"/>
        <v>56.363213987408741</v>
      </c>
      <c r="AT81" s="24">
        <f t="shared" si="44"/>
        <v>106.28316539810078</v>
      </c>
    </row>
    <row r="82" spans="4:46">
      <c r="D82" s="13"/>
      <c r="Y82" s="24">
        <v>80</v>
      </c>
      <c r="Z82" s="24">
        <f t="shared" si="28"/>
        <v>137.07841442227294</v>
      </c>
      <c r="AA82" s="24" t="str">
        <f t="shared" si="37"/>
        <v>861.2890794295i</v>
      </c>
      <c r="AB82" s="24">
        <f t="shared" si="29"/>
        <v>7.8571428571428568</v>
      </c>
      <c r="AD82" s="24" t="str">
        <f t="shared" si="30"/>
        <v>0.999388563186185-0.0246594709637306i</v>
      </c>
      <c r="AE82" s="24" t="str">
        <f t="shared" si="31"/>
        <v>0.999999889976348-0.000358906854419644i</v>
      </c>
      <c r="AF82" s="24" t="str">
        <f t="shared" si="45"/>
        <v>6.85014995363779-0.171484506319727i</v>
      </c>
      <c r="AG82" s="24">
        <f t="shared" si="32"/>
        <v>6.8522960621408888</v>
      </c>
      <c r="AH82" s="24">
        <f t="shared" si="38"/>
        <v>-2.5028459035417998E-2</v>
      </c>
      <c r="AI82" s="24">
        <f t="shared" si="27"/>
        <v>-1.4340250704455229</v>
      </c>
      <c r="AJ82" s="24">
        <f t="shared" si="39"/>
        <v>16.716722378853571</v>
      </c>
      <c r="AL82" s="24" t="str">
        <f t="shared" si="40"/>
        <v>0.0727857894716401-0.259784561363123i</v>
      </c>
      <c r="AM82" s="24" t="str">
        <f t="shared" si="41"/>
        <v>1.00000529354955+0.019308472351646i</v>
      </c>
      <c r="AN82" s="24" t="str">
        <f t="shared" si="42"/>
        <v>-26.1547881072158+86.8598458604904i</v>
      </c>
      <c r="AO82" s="24">
        <f t="shared" si="33"/>
        <v>90.712213972769433</v>
      </c>
      <c r="AP82" s="24">
        <f t="shared" si="34"/>
        <v>1.8632755910918668</v>
      </c>
      <c r="AQ82" s="24">
        <f t="shared" si="35"/>
        <v>106.75782743930773</v>
      </c>
      <c r="AR82" s="24">
        <f t="shared" si="36"/>
        <v>39.153315334112484</v>
      </c>
      <c r="AS82" s="24">
        <f t="shared" si="43"/>
        <v>55.870037712966052</v>
      </c>
      <c r="AT82" s="24">
        <f t="shared" si="44"/>
        <v>105.3238023688622</v>
      </c>
    </row>
    <row r="83" spans="4:46">
      <c r="D83" s="13"/>
      <c r="Y83" s="24">
        <v>81</v>
      </c>
      <c r="Z83" s="24">
        <f t="shared" si="28"/>
        <v>145.77437421146283</v>
      </c>
      <c r="AA83" s="24" t="str">
        <f t="shared" si="37"/>
        <v>915.927406208762i</v>
      </c>
      <c r="AB83" s="24">
        <f t="shared" si="29"/>
        <v>7.8571428571428568</v>
      </c>
      <c r="AD83" s="24" t="str">
        <f t="shared" si="30"/>
        <v>0.999308581680613-0.0262217057995464i</v>
      </c>
      <c r="AE83" s="24" t="str">
        <f t="shared" si="31"/>
        <v>0.999999875574246-0.000381675128786041i</v>
      </c>
      <c r="AF83" s="24" t="str">
        <f t="shared" si="45"/>
        <v>6.84959369414708-0.182348447018129i</v>
      </c>
      <c r="AG83" s="24">
        <f t="shared" si="32"/>
        <v>6.8520204853042692</v>
      </c>
      <c r="AH83" s="24">
        <f t="shared" si="38"/>
        <v>-2.6615503851376315E-2</v>
      </c>
      <c r="AI83" s="24">
        <f t="shared" si="27"/>
        <v>-1.5249560402980507</v>
      </c>
      <c r="AJ83" s="24">
        <f t="shared" si="39"/>
        <v>16.716373053882606</v>
      </c>
      <c r="AL83" s="24" t="str">
        <f t="shared" si="40"/>
        <v>0.0649077771062202-0.246363060496799i</v>
      </c>
      <c r="AM83" s="24" t="str">
        <f t="shared" si="41"/>
        <v>1.00000598647544+0.0205333601078651i</v>
      </c>
      <c r="AN83" s="24" t="str">
        <f t="shared" si="42"/>
        <v>-23.520763157301+82.3723790892973i</v>
      </c>
      <c r="AO83" s="24">
        <f t="shared" si="33"/>
        <v>85.664666790531271</v>
      </c>
      <c r="AP83" s="24">
        <f t="shared" si="34"/>
        <v>1.8489365752864471</v>
      </c>
      <c r="AQ83" s="24">
        <f t="shared" si="35"/>
        <v>105.93626235128581</v>
      </c>
      <c r="AR83" s="24">
        <f t="shared" si="36"/>
        <v>38.65603459900894</v>
      </c>
      <c r="AS83" s="24">
        <f t="shared" si="43"/>
        <v>55.372407652891546</v>
      </c>
      <c r="AT83" s="24">
        <f t="shared" si="44"/>
        <v>104.41130631098775</v>
      </c>
    </row>
    <row r="84" spans="4:46">
      <c r="D84" s="13"/>
      <c r="Y84" s="24">
        <v>82</v>
      </c>
      <c r="Z84" s="24">
        <f t="shared" si="28"/>
        <v>155.02198698682062</v>
      </c>
      <c r="AA84" s="24" t="str">
        <f t="shared" si="37"/>
        <v>974.031870925376i</v>
      </c>
      <c r="AB84" s="24">
        <f t="shared" si="29"/>
        <v>7.8571428571428568</v>
      </c>
      <c r="AD84" s="24" t="str">
        <f t="shared" si="30"/>
        <v>0.999218146090487-0.027882618523106i</v>
      </c>
      <c r="AE84" s="24" t="str">
        <f t="shared" si="31"/>
        <v>0.999999859286909-0.000405887772585649i</v>
      </c>
      <c r="AF84" s="24" t="str">
        <f t="shared" si="45"/>
        <v>6.8489647280513-0.193898603508487i</v>
      </c>
      <c r="AG84" s="24">
        <f t="shared" si="32"/>
        <v>6.8517088754947366</v>
      </c>
      <c r="AH84" s="24">
        <f t="shared" si="38"/>
        <v>-2.8303084238171877E-2</v>
      </c>
      <c r="AI84" s="24">
        <f t="shared" si="27"/>
        <v>-1.6216472740504915</v>
      </c>
      <c r="AJ84" s="24">
        <f t="shared" si="39"/>
        <v>16.71597803609658</v>
      </c>
      <c r="AL84" s="24" t="str">
        <f t="shared" si="40"/>
        <v>0.0578292652704049-0.233420310488805i</v>
      </c>
      <c r="AM84" s="24" t="str">
        <f t="shared" si="41"/>
        <v>1.00000677010535+0.0218359520679704i</v>
      </c>
      <c r="AN84" s="24" t="str">
        <f t="shared" si="42"/>
        <v>-21.1540523739559+78.0449853729441i</v>
      </c>
      <c r="AO84" s="24">
        <f t="shared" si="33"/>
        <v>80.86107638229366</v>
      </c>
      <c r="AP84" s="24">
        <f t="shared" si="34"/>
        <v>1.8354860700689501</v>
      </c>
      <c r="AQ84" s="24">
        <f t="shared" si="35"/>
        <v>105.16560517000454</v>
      </c>
      <c r="AR84" s="24">
        <f t="shared" si="36"/>
        <v>38.154790362950678</v>
      </c>
      <c r="AS84" s="24">
        <f t="shared" si="43"/>
        <v>54.870768399047257</v>
      </c>
      <c r="AT84" s="24">
        <f t="shared" si="44"/>
        <v>103.54395789595405</v>
      </c>
    </row>
    <row r="85" spans="4:46">
      <c r="D85" s="13"/>
      <c r="Y85" s="24">
        <v>83</v>
      </c>
      <c r="Z85" s="24">
        <f t="shared" si="28"/>
        <v>164.85624842731968</v>
      </c>
      <c r="AA85" s="24" t="str">
        <f t="shared" si="37"/>
        <v>1035.82235791528i</v>
      </c>
      <c r="AB85" s="24">
        <f t="shared" si="29"/>
        <v>7.8571428571428568</v>
      </c>
      <c r="AD85" s="24" t="str">
        <f t="shared" si="30"/>
        <v>0.999115892293373-0.029648382689734i</v>
      </c>
      <c r="AE85" s="24" t="str">
        <f t="shared" si="31"/>
        <v>0.999999840867561-0.000431636413321655i</v>
      </c>
      <c r="AF85" s="24" t="str">
        <f t="shared" si="45"/>
        <v>6.84825356808162-0.206177907239429i</v>
      </c>
      <c r="AG85" s="24">
        <f t="shared" si="32"/>
        <v>6.8513565271540395</v>
      </c>
      <c r="AH85" s="24">
        <f t="shared" si="38"/>
        <v>-3.0097548981686203E-2</v>
      </c>
      <c r="AI85" s="24">
        <f t="shared" si="27"/>
        <v>-1.7244625303388881</v>
      </c>
      <c r="AJ85" s="24">
        <f t="shared" si="39"/>
        <v>16.715531353735781</v>
      </c>
      <c r="AL85" s="24" t="str">
        <f t="shared" si="40"/>
        <v>0.0514802014713635-0.220975089835554i</v>
      </c>
      <c r="AM85" s="24" t="str">
        <f t="shared" si="41"/>
        <v>1.00000765631245+0.0232211776112377i</v>
      </c>
      <c r="AN85" s="24" t="str">
        <f t="shared" si="42"/>
        <v>-19.0312336036575+73.8839434564105i</v>
      </c>
      <c r="AO85" s="24">
        <f t="shared" si="33"/>
        <v>76.295641770333447</v>
      </c>
      <c r="AP85" s="24">
        <f t="shared" si="34"/>
        <v>1.8228989189886859</v>
      </c>
      <c r="AQ85" s="24">
        <f t="shared" si="35"/>
        <v>104.44441453701185</v>
      </c>
      <c r="AR85" s="24">
        <f t="shared" si="36"/>
        <v>37.649994609909172</v>
      </c>
      <c r="AS85" s="24">
        <f t="shared" si="43"/>
        <v>54.365525963644956</v>
      </c>
      <c r="AT85" s="24">
        <f t="shared" si="44"/>
        <v>102.71995200667297</v>
      </c>
    </row>
    <row r="86" spans="4:46">
      <c r="D86" s="13"/>
      <c r="Y86" s="24">
        <v>84</v>
      </c>
      <c r="Z86" s="24">
        <f t="shared" si="28"/>
        <v>175.3143742625403</v>
      </c>
      <c r="AA86" s="24" t="str">
        <f t="shared" si="37"/>
        <v>1101.53270050378i</v>
      </c>
      <c r="AB86" s="24">
        <f t="shared" si="29"/>
        <v>7.8571428571428568</v>
      </c>
      <c r="AD86" s="24" t="str">
        <f t="shared" si="30"/>
        <v>0.999000278805104-0.0315255460483497i</v>
      </c>
      <c r="AE86" s="24" t="str">
        <f t="shared" si="31"/>
        <v>0.999999820037118-0.000459018491111056i</v>
      </c>
      <c r="AF86" s="24" t="str">
        <f t="shared" si="45"/>
        <v>6.84744949344467-0.219231891821398i</v>
      </c>
      <c r="AG86" s="24">
        <f t="shared" si="32"/>
        <v>6.8509581218737035</v>
      </c>
      <c r="AH86" s="24">
        <f t="shared" si="38"/>
        <v>-3.2005643760983041E-2</v>
      </c>
      <c r="AI86" s="24">
        <f t="shared" si="27"/>
        <v>-1.8337883081035431</v>
      </c>
      <c r="AJ86" s="24">
        <f t="shared" si="39"/>
        <v>16.715026255964222</v>
      </c>
      <c r="AL86" s="24" t="str">
        <f t="shared" si="40"/>
        <v>0.0457943193494744-0.209038751586381i</v>
      </c>
      <c r="AM86" s="24" t="str">
        <f t="shared" si="41"/>
        <v>1.00000865852408+0.0246942788244819i</v>
      </c>
      <c r="AN86" s="24" t="str">
        <f t="shared" si="42"/>
        <v>-17.1301505920062+69.8930493836822i</v>
      </c>
      <c r="AO86" s="24">
        <f t="shared" si="33"/>
        <v>71.961659315601182</v>
      </c>
      <c r="AP86" s="24">
        <f t="shared" si="34"/>
        <v>1.8111493533678829</v>
      </c>
      <c r="AQ86" s="24">
        <f t="shared" si="35"/>
        <v>103.77121401582785</v>
      </c>
      <c r="AR86" s="24">
        <f t="shared" si="36"/>
        <v>37.142023377878544</v>
      </c>
      <c r="AS86" s="24">
        <f t="shared" si="43"/>
        <v>53.857049633842763</v>
      </c>
      <c r="AT86" s="24">
        <f t="shared" si="44"/>
        <v>101.9374257077243</v>
      </c>
    </row>
    <row r="87" spans="4:46">
      <c r="D87" s="13"/>
      <c r="Y87" s="24">
        <v>85</v>
      </c>
      <c r="Z87" s="24">
        <f t="shared" si="28"/>
        <v>186.43594110790573</v>
      </c>
      <c r="AA87" s="24" t="str">
        <f t="shared" si="37"/>
        <v>1171.41156589939i</v>
      </c>
      <c r="AB87" s="24">
        <f t="shared" si="29"/>
        <v>7.8571428571428568</v>
      </c>
      <c r="AD87" s="24" t="str">
        <f t="shared" si="30"/>
        <v>0.998869563897315-0.0335210507649134i</v>
      </c>
      <c r="AE87" s="24" t="str">
        <f t="shared" si="31"/>
        <v>0.999999796479969-0.000488137627416673i</v>
      </c>
      <c r="AF87" s="24" t="str">
        <f t="shared" si="45"/>
        <v>6.84654039067851-0.233108833658724i</v>
      </c>
      <c r="AG87" s="24">
        <f t="shared" si="32"/>
        <v>6.8505076490375494</v>
      </c>
      <c r="AH87" s="24">
        <f t="shared" si="38"/>
        <v>-3.4034535142914601E-2</v>
      </c>
      <c r="AI87" s="24">
        <f t="shared" si="27"/>
        <v>-1.9500352213786869</v>
      </c>
      <c r="AJ87" s="24">
        <f t="shared" si="39"/>
        <v>16.714455111620016</v>
      </c>
      <c r="AL87" s="24" t="str">
        <f t="shared" si="40"/>
        <v>0.0407094783417349-0.19761633716593i</v>
      </c>
      <c r="AM87" s="24" t="str">
        <f t="shared" si="41"/>
        <v>1.00000979192524+0.0262608303392085i</v>
      </c>
      <c r="AN87" s="24" t="str">
        <f t="shared" si="42"/>
        <v>-15.4300265506784+66.0739889064067i</v>
      </c>
      <c r="AO87" s="24">
        <f t="shared" si="33"/>
        <v>67.851733429283854</v>
      </c>
      <c r="AP87" s="24">
        <f t="shared" si="34"/>
        <v>1.800211433310311</v>
      </c>
      <c r="AQ87" s="24">
        <f t="shared" si="35"/>
        <v>103.14451735987748</v>
      </c>
      <c r="AR87" s="24">
        <f t="shared" si="36"/>
        <v>36.631218943866898</v>
      </c>
      <c r="AS87" s="24">
        <f t="shared" si="43"/>
        <v>53.34567405548691</v>
      </c>
      <c r="AT87" s="24">
        <f t="shared" si="44"/>
        <v>101.1944821384988</v>
      </c>
    </row>
    <row r="88" spans="4:46">
      <c r="D88" s="13"/>
      <c r="Y88" s="24">
        <v>86</v>
      </c>
      <c r="Z88" s="24">
        <f t="shared" si="28"/>
        <v>198.26303623420247</v>
      </c>
      <c r="AA88" s="24" t="str">
        <f t="shared" si="37"/>
        <v>1245.72339622355i</v>
      </c>
      <c r="AB88" s="24">
        <f t="shared" si="29"/>
        <v>7.8571428571428568</v>
      </c>
      <c r="AD88" s="24" t="str">
        <f t="shared" si="30"/>
        <v>0.998721779812397-0.035642254223847i</v>
      </c>
      <c r="AE88" s="24" t="str">
        <f t="shared" si="31"/>
        <v>0.999999769839191-0.000519104017169223i</v>
      </c>
      <c r="AF88" s="24" t="str">
        <f t="shared" si="45"/>
        <v>6.8455125743214-0.247859896600191i</v>
      </c>
      <c r="AG88" s="24">
        <f t="shared" si="32"/>
        <v>6.8499983163162206</v>
      </c>
      <c r="AH88" s="24">
        <f t="shared" si="38"/>
        <v>-3.6191835860538223E-2</v>
      </c>
      <c r="AI88" s="24">
        <f t="shared" si="27"/>
        <v>-2.073639447639064</v>
      </c>
      <c r="AJ88" s="24">
        <f t="shared" si="39"/>
        <v>16.713809294915183</v>
      </c>
      <c r="AL88" s="24" t="str">
        <f t="shared" si="40"/>
        <v>0.0361678397998787-0.186707598035241i</v>
      </c>
      <c r="AM88" s="24" t="str">
        <f t="shared" si="41"/>
        <v>1.00001107368863+0.0279267604271255i</v>
      </c>
      <c r="AN88" s="24" t="str">
        <f t="shared" si="42"/>
        <v>-13.9115230427694+62.4266790783119i</v>
      </c>
      <c r="AO88" s="24">
        <f t="shared" si="33"/>
        <v>63.957960678214626</v>
      </c>
      <c r="AP88" s="24">
        <f t="shared" si="34"/>
        <v>1.79005942406264</v>
      </c>
      <c r="AQ88" s="24">
        <f t="shared" si="35"/>
        <v>102.56285007640815</v>
      </c>
      <c r="AR88" s="24">
        <f t="shared" si="36"/>
        <v>36.117892153291955</v>
      </c>
      <c r="AS88" s="24">
        <f t="shared" si="43"/>
        <v>52.831701448207141</v>
      </c>
      <c r="AT88" s="24">
        <f t="shared" si="44"/>
        <v>100.48921062876909</v>
      </c>
    </row>
    <row r="89" spans="4:46">
      <c r="D89" s="13"/>
      <c r="Y89" s="24">
        <v>87</v>
      </c>
      <c r="Z89" s="24">
        <f t="shared" si="28"/>
        <v>210.84041683815525</v>
      </c>
      <c r="AA89" s="24" t="str">
        <f t="shared" si="37"/>
        <v>1324.74940923712i</v>
      </c>
      <c r="AB89" s="24">
        <f t="shared" si="29"/>
        <v>7.8571428571428568</v>
      </c>
      <c r="AD89" s="24" t="str">
        <f t="shared" si="30"/>
        <v>0.998554703721583-0.037896950303832i</v>
      </c>
      <c r="AE89" s="24" t="str">
        <f t="shared" si="31"/>
        <v>0.999999739711133-0.000552034845762841i</v>
      </c>
      <c r="AF89" s="24" t="str">
        <f t="shared" si="45"/>
        <v>6.8443505849296-0.263539279887555i</v>
      </c>
      <c r="AG89" s="24">
        <f t="shared" si="32"/>
        <v>6.8494224487521445</v>
      </c>
      <c r="AH89" s="24">
        <f t="shared" si="38"/>
        <v>-3.8485631409009603E-2</v>
      </c>
      <c r="AI89" s="24">
        <f t="shared" si="27"/>
        <v>-2.2050642516323697</v>
      </c>
      <c r="AJ89" s="24">
        <f t="shared" si="39"/>
        <v>16.713079056433362</v>
      </c>
      <c r="AL89" s="24" t="str">
        <f t="shared" si="40"/>
        <v>0.0321159135129999-0.176307917043522i</v>
      </c>
      <c r="AM89" s="24" t="str">
        <f t="shared" si="41"/>
        <v>1.00001252323487+0.0296983734338236i</v>
      </c>
      <c r="AN89" s="24" t="str">
        <f t="shared" si="42"/>
        <v>-12.5567555376947+58.9495763110963i</v>
      </c>
      <c r="AO89" s="24">
        <f t="shared" si="33"/>
        <v>60.272088539316385</v>
      </c>
      <c r="AP89" s="24">
        <f t="shared" si="34"/>
        <v>1.780668113728276</v>
      </c>
      <c r="AQ89" s="24">
        <f t="shared" si="35"/>
        <v>102.0247676301515</v>
      </c>
      <c r="AR89" s="24">
        <f t="shared" si="36"/>
        <v>35.602324816710095</v>
      </c>
      <c r="AS89" s="24">
        <f t="shared" si="43"/>
        <v>52.315403873143453</v>
      </c>
      <c r="AT89" s="24">
        <f t="shared" si="44"/>
        <v>99.819703378519137</v>
      </c>
    </row>
    <row r="90" spans="4:46">
      <c r="D90" s="13"/>
      <c r="Y90" s="24">
        <v>88</v>
      </c>
      <c r="Z90" s="24">
        <f t="shared" si="28"/>
        <v>224.21567941678887</v>
      </c>
      <c r="AA90" s="24" t="str">
        <f t="shared" si="37"/>
        <v>1408.78866255086i</v>
      </c>
      <c r="AB90" s="24">
        <f t="shared" si="29"/>
        <v>7.8571428571428568</v>
      </c>
      <c r="AD90" s="24" t="str">
        <f t="shared" si="30"/>
        <v>0.99836582503254-0.040293390990327i</v>
      </c>
      <c r="AE90" s="24" t="str">
        <f t="shared" si="31"/>
        <v>0.999999705639313-0.000587054732501682i</v>
      </c>
      <c r="AF90" s="24" t="str">
        <f t="shared" si="45"/>
        <v>6.84303696170659-0.280204368444514i</v>
      </c>
      <c r="AG90" s="24">
        <f t="shared" si="32"/>
        <v>6.8487713750261756</v>
      </c>
      <c r="AH90" s="24">
        <f t="shared" si="38"/>
        <v>-4.0924507985259533E-2</v>
      </c>
      <c r="AI90" s="24">
        <f t="shared" si="27"/>
        <v>-2.3448015862048068</v>
      </c>
      <c r="AJ90" s="24">
        <f t="shared" si="39"/>
        <v>16.712253377572775</v>
      </c>
      <c r="AL90" s="24" t="str">
        <f t="shared" si="40"/>
        <v>0.028504504420026-0.166409127297137i</v>
      </c>
      <c r="AM90" s="24" t="str">
        <f t="shared" si="41"/>
        <v>1.00001416252672+0.0315823736355009i</v>
      </c>
      <c r="AN90" s="24" t="str">
        <f t="shared" si="42"/>
        <v>-11.3492755944191+55.6399501650847i</v>
      </c>
      <c r="AO90" s="24">
        <f t="shared" si="33"/>
        <v>56.785650572051964</v>
      </c>
      <c r="AP90" s="24">
        <f t="shared" si="34"/>
        <v>1.7720130786394954</v>
      </c>
      <c r="AQ90" s="24">
        <f t="shared" si="35"/>
        <v>101.52887064802674</v>
      </c>
      <c r="AR90" s="24">
        <f t="shared" si="36"/>
        <v>35.084772113977102</v>
      </c>
      <c r="AS90" s="24">
        <f t="shared" si="43"/>
        <v>51.797025491549874</v>
      </c>
      <c r="AT90" s="24">
        <f t="shared" si="44"/>
        <v>99.18406906182193</v>
      </c>
    </row>
    <row r="91" spans="4:46">
      <c r="D91" s="13"/>
      <c r="Y91" s="24">
        <v>89</v>
      </c>
      <c r="Z91" s="24">
        <f t="shared" si="28"/>
        <v>238.43943988652958</v>
      </c>
      <c r="AA91" s="24" t="str">
        <f t="shared" si="37"/>
        <v>1498.15918534717i</v>
      </c>
      <c r="AB91" s="24">
        <f t="shared" si="29"/>
        <v>7.8571428571428568</v>
      </c>
      <c r="AD91" s="24" t="str">
        <f t="shared" si="30"/>
        <v>0.998152308610351-0.0428403081456737i</v>
      </c>
      <c r="AE91" s="24" t="str">
        <f t="shared" si="31"/>
        <v>0.999999667107491-0.000624296202175106i</v>
      </c>
      <c r="AF91" s="24" t="str">
        <f t="shared" si="45"/>
        <v>6.84155198671042-0.297915884260222i</v>
      </c>
      <c r="AG91" s="24">
        <f t="shared" si="32"/>
        <v>6.8480352993362885</v>
      </c>
      <c r="AH91" s="24">
        <f t="shared" si="38"/>
        <v>-4.3517581788079768E-2</v>
      </c>
      <c r="AI91" s="24">
        <f t="shared" si="27"/>
        <v>-2.4933737710723451</v>
      </c>
      <c r="AJ91" s="24">
        <f t="shared" si="39"/>
        <v>16.71131980635931</v>
      </c>
      <c r="AL91" s="24" t="str">
        <f t="shared" si="40"/>
        <v>0.0252885849639152-0.157000230682754i</v>
      </c>
      <c r="AM91" s="24" t="str">
        <f t="shared" si="41"/>
        <v>1.00001601640189+0.0335858906089902i</v>
      </c>
      <c r="AN91" s="24" t="str">
        <f t="shared" si="42"/>
        <v>-10.2740281828887+52.494123589149i</v>
      </c>
      <c r="AO91" s="24">
        <f t="shared" si="33"/>
        <v>53.490080075614401</v>
      </c>
      <c r="AP91" s="24">
        <f t="shared" si="34"/>
        <v>1.7640709026842476</v>
      </c>
      <c r="AQ91" s="24">
        <f t="shared" si="35"/>
        <v>101.07381748564076</v>
      </c>
      <c r="AR91" s="24">
        <f t="shared" si="36"/>
        <v>34.565464960843485</v>
      </c>
      <c r="AS91" s="24">
        <f t="shared" si="43"/>
        <v>51.276784767202798</v>
      </c>
      <c r="AT91" s="24">
        <f t="shared" si="44"/>
        <v>98.580443714568418</v>
      </c>
    </row>
    <row r="92" spans="4:46">
      <c r="D92" s="13"/>
      <c r="Y92" s="24">
        <v>90</v>
      </c>
      <c r="Z92" s="24">
        <f t="shared" si="28"/>
        <v>253.56552512868072</v>
      </c>
      <c r="AA92" s="24" t="str">
        <f t="shared" si="37"/>
        <v>1593.1991818958i</v>
      </c>
      <c r="AB92" s="24">
        <f t="shared" si="29"/>
        <v>7.8571428571428568</v>
      </c>
      <c r="AD92" s="24" t="str">
        <f t="shared" si="30"/>
        <v>0.997910953430057-0.0455469352073715i</v>
      </c>
      <c r="AE92" s="24" t="str">
        <f t="shared" si="31"/>
        <v>0.999999623531856-0.000663900186545336i</v>
      </c>
      <c r="AF92" s="24" t="str">
        <f t="shared" si="45"/>
        <v>6.83987339728838-0.316738037271674i</v>
      </c>
      <c r="AG92" s="24">
        <f t="shared" si="32"/>
        <v>6.847203157142923</v>
      </c>
      <c r="AH92" s="24">
        <f t="shared" si="38"/>
        <v>-4.6274529682736688E-2</v>
      </c>
      <c r="AI92" s="24">
        <f t="shared" si="27"/>
        <v>-2.6513352497736649</v>
      </c>
      <c r="AJ92" s="24">
        <f t="shared" si="39"/>
        <v>16.710264272308319</v>
      </c>
      <c r="AL92" s="24" t="str">
        <f t="shared" si="40"/>
        <v>0.0224271143361599-0.14806802112108i</v>
      </c>
      <c r="AM92" s="24" t="str">
        <f t="shared" si="41"/>
        <v>1.00001811294931+0.0357165062110579i</v>
      </c>
      <c r="AN92" s="24" t="str">
        <f t="shared" si="42"/>
        <v>-9.3172912481559+49.5076813071976i</v>
      </c>
      <c r="AO92" s="24">
        <f t="shared" si="33"/>
        <v>50.376804430392419</v>
      </c>
      <c r="AP92" s="24">
        <f t="shared" si="34"/>
        <v>1.7568193566514869</v>
      </c>
      <c r="AQ92" s="24">
        <f t="shared" si="35"/>
        <v>100.65833450301872</v>
      </c>
      <c r="AR92" s="24">
        <f t="shared" si="36"/>
        <v>34.044612305614585</v>
      </c>
      <c r="AS92" s="24">
        <f t="shared" si="43"/>
        <v>50.7548765779229</v>
      </c>
      <c r="AT92" s="24">
        <f t="shared" si="44"/>
        <v>98.006999253245056</v>
      </c>
    </row>
    <row r="93" spans="4:46">
      <c r="D93" s="13"/>
      <c r="Y93" s="24">
        <v>91</v>
      </c>
      <c r="Z93" s="24">
        <f t="shared" si="28"/>
        <v>269.65117668612646</v>
      </c>
      <c r="AA93" s="24" t="str">
        <f t="shared" si="37"/>
        <v>1694.26831141796i</v>
      </c>
      <c r="AB93" s="24">
        <f t="shared" si="29"/>
        <v>7.8571428571428568</v>
      </c>
      <c r="AD93" s="24" t="str">
        <f t="shared" si="30"/>
        <v>0.997638146130442-0.0484230285243412i</v>
      </c>
      <c r="AE93" s="24" t="str">
        <f t="shared" si="31"/>
        <v>0.99999957425217-0.000706016557644455i</v>
      </c>
      <c r="AF93" s="24" t="str">
        <f t="shared" si="45"/>
        <v>6.83797606305039-0.336738673726692i</v>
      </c>
      <c r="AG93" s="24">
        <f t="shared" si="32"/>
        <v>6.8462624528448606</v>
      </c>
      <c r="AH93" s="24">
        <f t="shared" si="38"/>
        <v>-4.9205621218307419E-2</v>
      </c>
      <c r="AI93" s="24">
        <f t="shared" si="27"/>
        <v>-2.8192744241283871</v>
      </c>
      <c r="AJ93" s="24">
        <f t="shared" si="39"/>
        <v>16.709070877741798</v>
      </c>
      <c r="AL93" s="24" t="str">
        <f t="shared" si="40"/>
        <v>0.0198828219736297-0.139597619478251i</v>
      </c>
      <c r="AM93" s="24" t="str">
        <f t="shared" si="41"/>
        <v>1.00002048393475+0.0379822832690402i</v>
      </c>
      <c r="AN93" s="24" t="str">
        <f t="shared" si="42"/>
        <v>-8.46660332222288+46.6756486673224i</v>
      </c>
      <c r="AO93" s="24">
        <f t="shared" si="33"/>
        <v>47.437322335173917</v>
      </c>
      <c r="AP93" s="24">
        <f t="shared" si="34"/>
        <v>1.7502375432790696</v>
      </c>
      <c r="AQ93" s="24">
        <f t="shared" si="35"/>
        <v>100.28122437523646</v>
      </c>
      <c r="AR93" s="24">
        <f t="shared" si="36"/>
        <v>33.52240333398823</v>
      </c>
      <c r="AS93" s="24">
        <f t="shared" si="43"/>
        <v>50.231474211730031</v>
      </c>
      <c r="AT93" s="24">
        <f t="shared" si="44"/>
        <v>97.461949951108082</v>
      </c>
    </row>
    <row r="94" spans="4:46">
      <c r="D94" s="13"/>
      <c r="Y94" s="24">
        <v>92</v>
      </c>
      <c r="Z94" s="24">
        <f t="shared" si="28"/>
        <v>286.75726738211927</v>
      </c>
      <c r="AA94" s="24" t="str">
        <f t="shared" si="37"/>
        <v>1801.7490491423i</v>
      </c>
      <c r="AB94" s="24">
        <f t="shared" si="29"/>
        <v>7.8571428571428568</v>
      </c>
      <c r="AD94" s="24" t="str">
        <f t="shared" si="30"/>
        <v>0.997329808887777-0.051478887967837i</v>
      </c>
      <c r="AE94" s="24" t="str">
        <f t="shared" si="31"/>
        <v>0.999999518521775-0.000750804694897934i</v>
      </c>
      <c r="AF94" s="24" t="str">
        <f t="shared" si="45"/>
        <v>6.83583162333877-0.357989419500443i</v>
      </c>
      <c r="AG94" s="24">
        <f t="shared" si="32"/>
        <v>6.8451990772447679</v>
      </c>
      <c r="AH94" s="24">
        <f t="shared" si="38"/>
        <v>-5.232175196588873E-2</v>
      </c>
      <c r="AI94" s="24">
        <f t="shared" si="27"/>
        <v>-2.9978155643757427</v>
      </c>
      <c r="AJ94" s="24">
        <f t="shared" si="39"/>
        <v>16.707721662670131</v>
      </c>
      <c r="AL94" s="24" t="str">
        <f t="shared" si="40"/>
        <v>0.0176219692014451-0.131572928077581i</v>
      </c>
      <c r="AM94" s="24" t="str">
        <f t="shared" si="41"/>
        <v>1.00002316528214+0.040391796091341i</v>
      </c>
      <c r="AN94" s="24" t="str">
        <f t="shared" si="42"/>
        <v>-7.71068382897585+43.9926436092539i</v>
      </c>
      <c r="AO94" s="24">
        <f t="shared" si="33"/>
        <v>44.66326607897431</v>
      </c>
      <c r="AP94" s="24">
        <f t="shared" si="34"/>
        <v>1.7443060132193018</v>
      </c>
      <c r="AQ94" s="24">
        <f t="shared" si="35"/>
        <v>99.941372736756776</v>
      </c>
      <c r="AR94" s="24">
        <f t="shared" si="36"/>
        <v>32.999009568712765</v>
      </c>
      <c r="AS94" s="24">
        <f t="shared" si="43"/>
        <v>49.706731231382896</v>
      </c>
      <c r="AT94" s="24">
        <f t="shared" si="44"/>
        <v>96.943557172381034</v>
      </c>
    </row>
    <row r="95" spans="4:46">
      <c r="D95" s="13"/>
      <c r="Y95" s="24">
        <v>93</v>
      </c>
      <c r="Z95" s="24">
        <f t="shared" si="28"/>
        <v>304.94853168089651</v>
      </c>
      <c r="AA95" s="24" t="str">
        <f t="shared" si="37"/>
        <v>1916.0481337034i</v>
      </c>
      <c r="AB95" s="24">
        <f t="shared" si="29"/>
        <v>7.8571428571428568</v>
      </c>
      <c r="AD95" s="24" t="str">
        <f t="shared" si="30"/>
        <v>0.996981340975573-0.0547253763658716i</v>
      </c>
      <c r="AE95" s="24" t="str">
        <f t="shared" si="31"/>
        <v>0.999999455496275-0.000798434088219606i</v>
      </c>
      <c r="AF95" s="24" t="str">
        <f t="shared" si="45"/>
        <v>6.83340808078499-0.380565815227775i</v>
      </c>
      <c r="AG95" s="24">
        <f t="shared" si="32"/>
        <v>6.8439971024436854</v>
      </c>
      <c r="AH95" s="24">
        <f t="shared" si="38"/>
        <v>-5.5634478120824456E-2</v>
      </c>
      <c r="AI95" s="24">
        <f t="shared" si="27"/>
        <v>-3.187620791736161</v>
      </c>
      <c r="AJ95" s="24">
        <f t="shared" si="39"/>
        <v>16.706196340020103</v>
      </c>
      <c r="AL95" s="24" t="str">
        <f t="shared" si="40"/>
        <v>0.0156140999059691-0.123977013152017i</v>
      </c>
      <c r="AM95" s="24" t="str">
        <f t="shared" si="41"/>
        <v>1.00002619761782+0.0429541629132018i</v>
      </c>
      <c r="AN95" s="24" t="str">
        <f t="shared" si="42"/>
        <v>-7.03934972132162+41.4530045387338i</v>
      </c>
      <c r="AO95" s="24">
        <f t="shared" si="33"/>
        <v>42.046450858394174</v>
      </c>
      <c r="AP95" s="24">
        <f t="shared" si="34"/>
        <v>1.739006856623593</v>
      </c>
      <c r="AQ95" s="24">
        <f t="shared" si="35"/>
        <v>99.637753428843752</v>
      </c>
      <c r="AR95" s="24">
        <f t="shared" si="36"/>
        <v>32.474586857533922</v>
      </c>
      <c r="AS95" s="24">
        <f t="shared" si="43"/>
        <v>49.180783197554021</v>
      </c>
      <c r="AT95" s="24">
        <f t="shared" si="44"/>
        <v>96.450132637107586</v>
      </c>
    </row>
    <row r="96" spans="4:46">
      <c r="D96" s="13"/>
      <c r="Y96" s="24">
        <v>94</v>
      </c>
      <c r="Z96" s="24">
        <f t="shared" si="28"/>
        <v>324.29381066187881</v>
      </c>
      <c r="AA96" s="24" t="str">
        <f t="shared" si="37"/>
        <v>2037.59810636i</v>
      </c>
      <c r="AB96" s="24">
        <f t="shared" si="29"/>
        <v>7.8571428571428568</v>
      </c>
      <c r="AD96" s="24" t="str">
        <f t="shared" si="30"/>
        <v>0.996587553323144-0.0581739372050199i</v>
      </c>
      <c r="AE96" s="24" t="str">
        <f t="shared" si="31"/>
        <v>0.999999384220741-0.00084908497935883i</v>
      </c>
      <c r="AF96" s="24" t="str">
        <f t="shared" si="45"/>
        <v>6.83066934617421-0.404547439383422i</v>
      </c>
      <c r="AG96" s="24">
        <f t="shared" si="32"/>
        <v>6.8426385515731933</v>
      </c>
      <c r="AH96" s="24">
        <f t="shared" si="38"/>
        <v>-5.9156052281149903E-2</v>
      </c>
      <c r="AI96" s="24">
        <f t="shared" si="27"/>
        <v>-3.3893921283651354</v>
      </c>
      <c r="AJ96" s="24">
        <f t="shared" si="39"/>
        <v>16.704471997637384</v>
      </c>
      <c r="AL96" s="24" t="str">
        <f t="shared" si="40"/>
        <v>0.0138317885704366-0.116792423535858i</v>
      </c>
      <c r="AM96" s="24" t="str">
        <f t="shared" si="41"/>
        <v>1.0000296268861+0.0456790804004561i</v>
      </c>
      <c r="AN96" s="24" t="str">
        <f t="shared" si="42"/>
        <v>-6.44343123651684+39.0508968834477i</v>
      </c>
      <c r="AO96" s="24">
        <f t="shared" si="33"/>
        <v>39.578912990396617</v>
      </c>
      <c r="AP96" s="24">
        <f t="shared" si="34"/>
        <v>1.7343237745209032</v>
      </c>
      <c r="AQ96" s="24">
        <f t="shared" si="35"/>
        <v>99.369432589246372</v>
      </c>
      <c r="AR96" s="24">
        <f t="shared" si="36"/>
        <v>31.949277248263943</v>
      </c>
      <c r="AS96" s="24">
        <f t="shared" si="43"/>
        <v>48.653749245901324</v>
      </c>
      <c r="AT96" s="24">
        <f t="shared" si="44"/>
        <v>95.980040460881241</v>
      </c>
    </row>
    <row r="97" spans="4:46">
      <c r="D97" s="13"/>
      <c r="Y97" s="24">
        <v>95</v>
      </c>
      <c r="Z97" s="24">
        <f t="shared" si="28"/>
        <v>344.8663125345048</v>
      </c>
      <c r="AA97" s="24" t="str">
        <f t="shared" si="37"/>
        <v>2166.858947858i</v>
      </c>
      <c r="AB97" s="24">
        <f t="shared" si="29"/>
        <v>7.8571428571428568</v>
      </c>
      <c r="AD97" s="24" t="str">
        <f t="shared" si="30"/>
        <v>0.996142595333433-0.0618366099183517i</v>
      </c>
      <c r="AE97" s="24" t="str">
        <f t="shared" si="31"/>
        <v>0.999999303615244-0.000902949043925166i</v>
      </c>
      <c r="AF97" s="24" t="str">
        <f t="shared" si="45"/>
        <v>6.82757472947428-0.430018014571967i</v>
      </c>
      <c r="AG97" s="24">
        <f t="shared" si="32"/>
        <v>6.8411031405331268</v>
      </c>
      <c r="AH97" s="24">
        <f t="shared" si="38"/>
        <v>-6.2899460276428079E-2</v>
      </c>
      <c r="AI97" s="24">
        <f t="shared" si="27"/>
        <v>-3.6038736074901032</v>
      </c>
      <c r="AJ97" s="24">
        <f t="shared" si="39"/>
        <v>16.70252276310795</v>
      </c>
      <c r="AL97" s="24" t="str">
        <f t="shared" si="40"/>
        <v>0.0122503918855858-0.110001453555103i</v>
      </c>
      <c r="AM97" s="24" t="str">
        <f t="shared" si="41"/>
        <v>1.0000335050454+0.0485768603417658i</v>
      </c>
      <c r="AN97" s="24" t="str">
        <f t="shared" si="42"/>
        <v>-5.91468884680215+36.7804009917455i</v>
      </c>
      <c r="AO97" s="24">
        <f t="shared" si="33"/>
        <v>37.25293869304916</v>
      </c>
      <c r="AP97" s="24">
        <f t="shared" si="34"/>
        <v>1.7302421336466987</v>
      </c>
      <c r="AQ97" s="24">
        <f t="shared" si="35"/>
        <v>99.135571793666372</v>
      </c>
      <c r="AR97" s="24">
        <f t="shared" si="36"/>
        <v>31.423210753946744</v>
      </c>
      <c r="AS97" s="24">
        <f t="shared" si="43"/>
        <v>48.125733517054698</v>
      </c>
      <c r="AT97" s="24">
        <f t="shared" si="44"/>
        <v>95.531698186176271</v>
      </c>
    </row>
    <row r="98" spans="4:46">
      <c r="D98" s="13"/>
      <c r="Y98" s="24">
        <v>96</v>
      </c>
      <c r="Z98" s="24">
        <f t="shared" si="28"/>
        <v>366.74388967956821</v>
      </c>
      <c r="AA98" s="24" t="str">
        <f t="shared" si="37"/>
        <v>2304.31981913255i</v>
      </c>
      <c r="AB98" s="24">
        <f t="shared" si="29"/>
        <v>7.8571428571428568</v>
      </c>
      <c r="AD98" s="24" t="str">
        <f t="shared" si="30"/>
        <v>0.995639873171349-0.0657260419296812i</v>
      </c>
      <c r="AE98" s="24" t="str">
        <f t="shared" si="31"/>
        <v>0.999999212458496-0.000960230116669392i</v>
      </c>
      <c r="AF98" s="24" t="str">
        <f t="shared" si="45"/>
        <v>6.82407837154327-0.45706549125618i</v>
      </c>
      <c r="AG98" s="24">
        <f t="shared" si="32"/>
        <v>6.8393679886566927</v>
      </c>
      <c r="AH98" s="24">
        <f t="shared" si="38"/>
        <v>-6.687845887468187E-2</v>
      </c>
      <c r="AI98" s="24">
        <f t="shared" si="27"/>
        <v>-3.8318534338585164</v>
      </c>
      <c r="AJ98" s="24">
        <f t="shared" si="39"/>
        <v>16.700319427032387</v>
      </c>
      <c r="AL98" s="24" t="str">
        <f t="shared" si="40"/>
        <v>0.0108478084177179-0.103586357548909i</v>
      </c>
      <c r="AM98" s="24" t="str">
        <f t="shared" si="41"/>
        <v>1.00003789085547+0.0516584686680996i</v>
      </c>
      <c r="AN98" s="24" t="str">
        <f t="shared" si="42"/>
        <v>-5.44573290404679+34.6355838592104i</v>
      </c>
      <c r="AO98" s="24">
        <f t="shared" si="33"/>
        <v>35.061084925178996</v>
      </c>
      <c r="AP98" s="24">
        <f t="shared" si="34"/>
        <v>1.726749007884121</v>
      </c>
      <c r="AQ98" s="24">
        <f t="shared" si="35"/>
        <v>98.935430430162256</v>
      </c>
      <c r="AR98" s="24">
        <f t="shared" si="36"/>
        <v>30.896507014236192</v>
      </c>
      <c r="AS98" s="24">
        <f t="shared" si="43"/>
        <v>47.596826441268576</v>
      </c>
      <c r="AT98" s="24">
        <f t="shared" si="44"/>
        <v>95.103576996303744</v>
      </c>
    </row>
    <row r="99" spans="4:46">
      <c r="D99" s="13"/>
      <c r="Y99" s="24">
        <v>97</v>
      </c>
      <c r="Z99" s="24">
        <f t="shared" si="28"/>
        <v>390.00933326545766</v>
      </c>
      <c r="AA99" s="24" t="str">
        <f t="shared" si="37"/>
        <v>2450.50091243643i</v>
      </c>
      <c r="AB99" s="24">
        <f t="shared" si="29"/>
        <v>7.8571428571428568</v>
      </c>
      <c r="AD99" s="24" t="str">
        <f t="shared" si="30"/>
        <v>0.995071958690679-0.0698554964486282i</v>
      </c>
      <c r="AE99" s="24" t="str">
        <f t="shared" si="31"/>
        <v>0.99999910936934-0.00102114496276288i</v>
      </c>
      <c r="AF99" s="24" t="str">
        <f t="shared" si="45"/>
        <v>6.82012861072981-0.485782101930458i</v>
      </c>
      <c r="AG99" s="24">
        <f t="shared" si="32"/>
        <v>6.8374072949804088</v>
      </c>
      <c r="AH99" s="24">
        <f t="shared" si="38"/>
        <v>-7.1107614138665454E-2</v>
      </c>
      <c r="AI99" s="24">
        <f t="shared" si="27"/>
        <v>-4.0741661813903107</v>
      </c>
      <c r="AJ99" s="24">
        <f t="shared" si="39"/>
        <v>16.697829019951811</v>
      </c>
      <c r="AL99" s="24" t="str">
        <f t="shared" si="40"/>
        <v>0.00960424942901005-0.0975295228221456i</v>
      </c>
      <c r="AM99" s="24" t="str">
        <f t="shared" si="41"/>
        <v>1.00004285076768+0.0549355669469929i</v>
      </c>
      <c r="AN99" s="24" t="str">
        <f t="shared" si="42"/>
        <v>-5.02994701316277+32.6105569566697i</v>
      </c>
      <c r="AO99" s="24">
        <f t="shared" si="33"/>
        <v>32.996193598344398</v>
      </c>
      <c r="AP99" s="24">
        <f t="shared" si="34"/>
        <v>1.7238332090148287</v>
      </c>
      <c r="AQ99" s="24">
        <f t="shared" si="35"/>
        <v>98.768367461042786</v>
      </c>
      <c r="AR99" s="24">
        <f t="shared" si="36"/>
        <v>30.369276861448018</v>
      </c>
      <c r="AS99" s="24">
        <f t="shared" si="43"/>
        <v>47.067105881399826</v>
      </c>
      <c r="AT99" s="24">
        <f t="shared" si="44"/>
        <v>94.694201279652475</v>
      </c>
    </row>
    <row r="100" spans="4:46">
      <c r="D100" s="13"/>
      <c r="Y100" s="24">
        <v>98</v>
      </c>
      <c r="Z100" s="24">
        <f t="shared" si="28"/>
        <v>414.75068655422291</v>
      </c>
      <c r="AA100" s="24" t="str">
        <f t="shared" si="37"/>
        <v>2605.95541990014i</v>
      </c>
      <c r="AB100" s="24">
        <f t="shared" si="29"/>
        <v>7.8571428571428568</v>
      </c>
      <c r="AD100" s="24" t="str">
        <f t="shared" si="30"/>
        <v>0.994430488134508-0.0742388548041112i</v>
      </c>
      <c r="AE100" s="24" t="str">
        <f t="shared" si="31"/>
        <v>0.999998992785827-0.00108592409799106i</v>
      </c>
      <c r="AF100" s="24" t="str">
        <f t="shared" si="45"/>
        <v>6.81566727834969-0.516264377307274i</v>
      </c>
      <c r="AG100" s="24">
        <f t="shared" si="32"/>
        <v>6.8351919765609468</v>
      </c>
      <c r="AH100" s="24">
        <f t="shared" ref="AH100:AH131" si="46">IMARGUMENT(AF100)</f>
        <v>-7.5602340134468815E-2</v>
      </c>
      <c r="AI100" s="24">
        <f t="shared" si="27"/>
        <v>-4.3316950110175796</v>
      </c>
      <c r="AJ100" s="24">
        <f t="shared" ref="AJ100:AJ131" si="47">20*LOG(AG100,10)</f>
        <v>16.695014337667796</v>
      </c>
      <c r="AL100" s="24" t="str">
        <f t="shared" ref="AL100:AL131" si="48">IMDIV(1,IMSUM(1,IMDIV(AA100,wp2e)))</f>
        <v>0.00850202285053626-0.0918136071504939i</v>
      </c>
      <c r="AM100" s="24" t="str">
        <f t="shared" ref="AM100:AM131" si="49">IMDIV(IMSUM(1,IMDIV(AA100,wz2e)),IMSUM(1,IMDIV(AA100,wp1e)))</f>
        <v>1.00004845993184+0.0584205565084863i</v>
      </c>
      <c r="AN100" s="24" t="str">
        <f t="shared" ref="AN100:AN131" si="50">IMPRODUCT($AK$2,AL100,AM100)</f>
        <v>-4.66141580314311+30.6995222063647i</v>
      </c>
      <c r="AO100" s="24">
        <f t="shared" si="33"/>
        <v>31.051400306409242</v>
      </c>
      <c r="AP100" s="24">
        <f t="shared" si="34"/>
        <v>1.7214853090473061</v>
      </c>
      <c r="AQ100" s="24">
        <f t="shared" si="35"/>
        <v>98.633842702184836</v>
      </c>
      <c r="AR100" s="24">
        <f t="shared" si="36"/>
        <v>29.841623801449217</v>
      </c>
      <c r="AS100" s="24">
        <f t="shared" ref="AS100:AS131" si="51">AR100+AJ100</f>
        <v>46.536638139117017</v>
      </c>
      <c r="AT100" s="24">
        <f t="shared" ref="AT100:AT131" si="52">AQ100+AI100</f>
        <v>94.302147691167249</v>
      </c>
    </row>
    <row r="101" spans="4:46">
      <c r="D101" s="13"/>
      <c r="Y101" s="24">
        <v>99</v>
      </c>
      <c r="Z101" s="24">
        <f t="shared" si="28"/>
        <v>441.06157808309626</v>
      </c>
      <c r="AA101" s="24" t="str">
        <f t="shared" si="37"/>
        <v>2771.27162697315i</v>
      </c>
      <c r="AB101" s="24">
        <f t="shared" si="29"/>
        <v>7.8571428571428568</v>
      </c>
      <c r="AD101" s="24" t="str">
        <f t="shared" si="30"/>
        <v>0.993706049726076-0.0788906118614428i</v>
      </c>
      <c r="AE101" s="24" t="str">
        <f t="shared" si="31"/>
        <v>0.999998860941553-0.00115481266096104i</v>
      </c>
      <c r="AF101" s="24" t="str">
        <f t="shared" si="45"/>
        <v>6.81062891689714-0.548613114398341i</v>
      </c>
      <c r="AG101" s="24">
        <f t="shared" si="32"/>
        <v>6.832689265067259</v>
      </c>
      <c r="AH101" s="24">
        <f t="shared" si="46"/>
        <v>-8.0378937613339071E-2</v>
      </c>
      <c r="AI101" s="24">
        <f t="shared" si="27"/>
        <v>-4.6053738869896748</v>
      </c>
      <c r="AJ101" s="24">
        <f t="shared" si="47"/>
        <v>16.691833409228526</v>
      </c>
      <c r="AL101" s="24" t="str">
        <f t="shared" si="48"/>
        <v>0.00752533156029469-0.0864216462768578i</v>
      </c>
      <c r="AM101" s="24" t="str">
        <f t="shared" si="49"/>
        <v>1.00005480333485+0.0621266253695568i</v>
      </c>
      <c r="AN101" s="24" t="str">
        <f t="shared" si="50"/>
        <v>-4.33485748099658+28.8968079247458i</v>
      </c>
      <c r="AO101" s="24">
        <f t="shared" si="33"/>
        <v>29.220138562645516</v>
      </c>
      <c r="AP101" s="24">
        <f t="shared" si="34"/>
        <v>1.7196976559953754</v>
      </c>
      <c r="AQ101" s="24">
        <f t="shared" si="35"/>
        <v>98.531417727075521</v>
      </c>
      <c r="AR101" s="24">
        <f t="shared" si="36"/>
        <v>29.31364542077436</v>
      </c>
      <c r="AS101" s="24">
        <f t="shared" si="51"/>
        <v>46.005478830002886</v>
      </c>
      <c r="AT101" s="24">
        <f t="shared" si="52"/>
        <v>93.926043840085839</v>
      </c>
    </row>
    <row r="102" spans="4:46">
      <c r="D102" s="13"/>
      <c r="Y102" s="24">
        <v>100</v>
      </c>
      <c r="Z102" s="24">
        <f t="shared" si="28"/>
        <v>469.04157598234281</v>
      </c>
      <c r="AA102" s="24" t="str">
        <f t="shared" si="37"/>
        <v>2947.07513866861i</v>
      </c>
      <c r="AB102" s="24">
        <f t="shared" si="29"/>
        <v>7.8571428571428568</v>
      </c>
      <c r="AD102" s="24" t="str">
        <f t="shared" si="30"/>
        <v>0.992888059271051-0.0838258627855996i</v>
      </c>
      <c r="AE102" s="24" t="str">
        <f t="shared" si="31"/>
        <v>0.999998711838888-0.00122807134061956i</v>
      </c>
      <c r="AF102" s="24" t="str">
        <f t="shared" si="45"/>
        <v>6.80493991487731-0.582933284406749i</v>
      </c>
      <c r="AG102" s="24">
        <f t="shared" si="32"/>
        <v>6.8298622577003441</v>
      </c>
      <c r="AH102" s="24">
        <f t="shared" si="46"/>
        <v>-8.5454632189295179E-2</v>
      </c>
      <c r="AI102" s="24">
        <f t="shared" si="27"/>
        <v>-4.8961897642894039</v>
      </c>
      <c r="AJ102" s="24">
        <f t="shared" si="47"/>
        <v>16.688238901379162</v>
      </c>
      <c r="AL102" s="24" t="str">
        <f t="shared" si="48"/>
        <v>0.0066600864735967-0.0813371361787524i</v>
      </c>
      <c r="AM102" s="24" t="str">
        <f t="shared" si="49"/>
        <v>1.00006197708832+0.0660677981344219i</v>
      </c>
      <c r="AN102" s="24" t="str">
        <f t="shared" si="50"/>
        <v>-4.04556133821308+27.1968963299806i</v>
      </c>
      <c r="AO102" s="24">
        <f t="shared" si="33"/>
        <v>27.496140393243497</v>
      </c>
      <c r="AP102" s="24">
        <f t="shared" si="34"/>
        <v>1.7184643846173728</v>
      </c>
      <c r="AQ102" s="24">
        <f t="shared" si="35"/>
        <v>98.460756482121695</v>
      </c>
      <c r="AR102" s="24">
        <f t="shared" si="36"/>
        <v>28.785434732201711</v>
      </c>
      <c r="AS102" s="24">
        <f t="shared" si="51"/>
        <v>45.473673633580873</v>
      </c>
      <c r="AT102" s="24">
        <f t="shared" si="52"/>
        <v>93.564566717832292</v>
      </c>
    </row>
    <row r="103" spans="4:46">
      <c r="D103" s="13"/>
      <c r="Y103" s="24">
        <v>101</v>
      </c>
      <c r="Z103" s="24">
        <f t="shared" si="28"/>
        <v>498.79656477026373</v>
      </c>
      <c r="AA103" s="24" t="str">
        <f t="shared" si="37"/>
        <v>3134.03124703617i</v>
      </c>
      <c r="AB103" s="24">
        <f t="shared" si="29"/>
        <v>7.8571428571428568</v>
      </c>
      <c r="AD103" s="24" t="str">
        <f t="shared" si="30"/>
        <v>0.991964622926786-0.089060279085865i</v>
      </c>
      <c r="AE103" s="24" t="str">
        <f t="shared" si="31"/>
        <v>0.999998543218719-0.00130597736258593i</v>
      </c>
      <c r="AF103" s="24" t="str">
        <f t="shared" si="45"/>
        <v>6.79851755238712-0.619333866069492i</v>
      </c>
      <c r="AG103" s="24">
        <f t="shared" si="32"/>
        <v>6.8266694183749914</v>
      </c>
      <c r="AH103" s="24">
        <f t="shared" si="46"/>
        <v>-9.0847611417994939E-2</v>
      </c>
      <c r="AI103" s="24">
        <f t="shared" si="27"/>
        <v>-5.2051847130956181</v>
      </c>
      <c r="AJ103" s="24">
        <f t="shared" si="47"/>
        <v>16.684177452810054</v>
      </c>
      <c r="AL103" s="24" t="str">
        <f t="shared" si="48"/>
        <v>0.00589373447343423-0.0765440942685384i</v>
      </c>
      <c r="AM103" s="24" t="str">
        <f t="shared" si="49"/>
        <v>1.00007008988477+0.0702589890593096i</v>
      </c>
      <c r="AN103" s="24" t="str">
        <f t="shared" si="50"/>
        <v>-3.78933021899326+25.5944440057125i</v>
      </c>
      <c r="AO103" s="24">
        <f t="shared" si="33"/>
        <v>25.873434010005862</v>
      </c>
      <c r="AP103" s="24">
        <f t="shared" si="34"/>
        <v>1.7177814232931701</v>
      </c>
      <c r="AQ103" s="24">
        <f t="shared" si="35"/>
        <v>98.421625680674197</v>
      </c>
      <c r="AR103" s="24">
        <f t="shared" si="36"/>
        <v>28.257081471603396</v>
      </c>
      <c r="AS103" s="24">
        <f t="shared" si="51"/>
        <v>44.941258924413447</v>
      </c>
      <c r="AT103" s="24">
        <f t="shared" si="52"/>
        <v>93.216440967578578</v>
      </c>
    </row>
    <row r="104" spans="4:46">
      <c r="D104" s="13"/>
      <c r="Y104" s="24">
        <v>102</v>
      </c>
      <c r="Z104" s="24">
        <f t="shared" si="28"/>
        <v>530.4391460512702</v>
      </c>
      <c r="AA104" s="24" t="str">
        <f t="shared" si="37"/>
        <v>3332.84744882223i</v>
      </c>
      <c r="AB104" s="24">
        <f t="shared" si="29"/>
        <v>7.8571428571428568</v>
      </c>
      <c r="AD104" s="24" t="str">
        <f t="shared" si="30"/>
        <v>0.990922386370503-0.0946100715005011i</v>
      </c>
      <c r="AE104" s="24" t="str">
        <f t="shared" si="31"/>
        <v>0.999998352526214-0.00138882553802593i</v>
      </c>
      <c r="AF104" s="24" t="str">
        <f t="shared" si="45"/>
        <v>6.79126895210276-0.657927587470973i</v>
      </c>
      <c r="AG104" s="24">
        <f t="shared" si="32"/>
        <v>6.8230640250660333</v>
      </c>
      <c r="AH104" s="24">
        <f t="shared" si="46"/>
        <v>-9.6577060043464086E-2</v>
      </c>
      <c r="AI104" s="24">
        <f t="shared" si="27"/>
        <v>-5.533457938272031</v>
      </c>
      <c r="AJ104" s="24">
        <f t="shared" si="47"/>
        <v>16.679588931101339</v>
      </c>
      <c r="AL104" s="24" t="str">
        <f t="shared" si="48"/>
        <v>0.00521510086108455-0.0720271031216254i</v>
      </c>
      <c r="AM104" s="24" t="str">
        <f t="shared" si="49"/>
        <v>1.00007926464452+0.074716058482224i</v>
      </c>
      <c r="AN104" s="24" t="str">
        <f t="shared" si="50"/>
        <v>-3.56242784333591+24.084296523108i</v>
      </c>
      <c r="AO104" s="24">
        <f t="shared" si="33"/>
        <v>24.346339173517791</v>
      </c>
      <c r="AP104" s="24">
        <f t="shared" si="34"/>
        <v>1.7176464979072987</v>
      </c>
      <c r="AQ104" s="24">
        <f t="shared" si="35"/>
        <v>98.413895025514606</v>
      </c>
      <c r="AR104" s="24">
        <f t="shared" si="36"/>
        <v>27.728673359255364</v>
      </c>
      <c r="AS104" s="24">
        <f t="shared" si="51"/>
        <v>44.408262290356703</v>
      </c>
      <c r="AT104" s="24">
        <f t="shared" si="52"/>
        <v>92.880437087242569</v>
      </c>
    </row>
    <row r="105" spans="4:46">
      <c r="D105" s="13"/>
      <c r="Y105" s="24">
        <v>103</v>
      </c>
      <c r="Z105" s="24">
        <f t="shared" si="28"/>
        <v>564.08906463337905</v>
      </c>
      <c r="AA105" s="24" t="str">
        <f t="shared" si="37"/>
        <v>3544.27612284512i</v>
      </c>
      <c r="AB105" s="24">
        <f t="shared" si="29"/>
        <v>7.8571428571428568</v>
      </c>
      <c r="AD105" s="24" t="str">
        <f t="shared" si="30"/>
        <v>0.989746369730173-0.100491936850633i</v>
      </c>
      <c r="AE105" s="24" t="str">
        <f t="shared" si="31"/>
        <v>0.999998136872119-0.00147692937902816i</v>
      </c>
      <c r="AF105" s="24" t="str">
        <f t="shared" si="45"/>
        <v>6.7830899312489-0.698830556361165i</v>
      </c>
      <c r="AG105" s="24">
        <f t="shared" si="32"/>
        <v>6.8189935593102193</v>
      </c>
      <c r="AH105" s="24">
        <f t="shared" si="46"/>
        <v>-0.10266319251557371</v>
      </c>
      <c r="AI105" s="24">
        <f t="shared" si="27"/>
        <v>-5.8821676424814342</v>
      </c>
      <c r="AJ105" s="24">
        <f t="shared" si="47"/>
        <v>16.674405604882246</v>
      </c>
      <c r="AL105" s="24" t="str">
        <f t="shared" si="48"/>
        <v>0.00461424576451525-0.0677713398166209i</v>
      </c>
      <c r="AM105" s="24" t="str">
        <f t="shared" si="49"/>
        <v>1.00008964037797+0.0794558728309019i</v>
      </c>
      <c r="AN105" s="24" t="str">
        <f t="shared" si="50"/>
        <v>-3.36153079693027+22.6614982523254i</v>
      </c>
      <c r="AO105" s="24">
        <f t="shared" si="33"/>
        <v>22.909460760542967</v>
      </c>
      <c r="AP105" s="24">
        <f t="shared" si="34"/>
        <v>1.7180591333164461</v>
      </c>
      <c r="AQ105" s="24">
        <f t="shared" si="35"/>
        <v>98.437537292936398</v>
      </c>
      <c r="AR105" s="24">
        <f t="shared" si="36"/>
        <v>27.20029733902431</v>
      </c>
      <c r="AS105" s="24">
        <f t="shared" si="51"/>
        <v>43.874702943906556</v>
      </c>
      <c r="AT105" s="24">
        <f t="shared" si="52"/>
        <v>92.555369650454963</v>
      </c>
    </row>
    <row r="106" spans="4:46">
      <c r="D106" s="13"/>
      <c r="Y106" s="24">
        <v>104</v>
      </c>
      <c r="Z106" s="24">
        <f t="shared" si="28"/>
        <v>599.87366167768641</v>
      </c>
      <c r="AA106" s="24" t="str">
        <f t="shared" si="37"/>
        <v>3769.11737721726i</v>
      </c>
      <c r="AB106" s="24">
        <f t="shared" si="29"/>
        <v>7.8571428571428568</v>
      </c>
      <c r="AD106" s="24" t="str">
        <f t="shared" si="30"/>
        <v>0.988419787846532-0.106722985507609i</v>
      </c>
      <c r="AE106" s="24" t="str">
        <f t="shared" si="31"/>
        <v>0.999997892988981-0.00157062228469438i</v>
      </c>
      <c r="AF106" s="24" t="str">
        <f t="shared" si="45"/>
        <v>6.77386375154828-0.742161755639527i</v>
      </c>
      <c r="AG106" s="24">
        <f t="shared" si="32"/>
        <v>6.814399034109587</v>
      </c>
      <c r="AH106" s="24">
        <f t="shared" si="46"/>
        <v>-0.10912728168918599</v>
      </c>
      <c r="AI106" s="24">
        <f t="shared" si="27"/>
        <v>-6.2525326705256266</v>
      </c>
      <c r="AJ106" s="24">
        <f t="shared" si="47"/>
        <v>16.668551223433262</v>
      </c>
      <c r="AL106" s="24" t="str">
        <f t="shared" si="48"/>
        <v>0.00408233378104761-0.063762593516479i</v>
      </c>
      <c r="AM106" s="24" t="str">
        <f t="shared" si="49"/>
        <v>1.00010137429186+0.084496368435636i</v>
      </c>
      <c r="AN106" s="24" t="str">
        <f t="shared" si="50"/>
        <v>-3.18368494593612+21.3212982424479i</v>
      </c>
      <c r="AO106" s="24">
        <f t="shared" si="33"/>
        <v>21.557680964760383</v>
      </c>
      <c r="AP106" s="24">
        <f t="shared" si="34"/>
        <v>1.7190206527026526</v>
      </c>
      <c r="AQ106" s="24">
        <f t="shared" si="35"/>
        <v>98.492628295686032</v>
      </c>
      <c r="AR106" s="24">
        <f t="shared" si="36"/>
        <v>26.672040808979567</v>
      </c>
      <c r="AS106" s="24">
        <f t="shared" si="51"/>
        <v>43.340592032412829</v>
      </c>
      <c r="AT106" s="24">
        <f t="shared" si="52"/>
        <v>92.240095625160407</v>
      </c>
    </row>
    <row r="107" spans="4:46">
      <c r="D107" s="13"/>
      <c r="Y107" s="24">
        <v>105</v>
      </c>
      <c r="Z107" s="24">
        <f t="shared" si="28"/>
        <v>637.92835659466812</v>
      </c>
      <c r="AA107" s="24" t="str">
        <f t="shared" si="37"/>
        <v>4008.22207718884i</v>
      </c>
      <c r="AB107" s="24">
        <f t="shared" si="29"/>
        <v>7.8571428571428568</v>
      </c>
      <c r="AD107" s="24" t="str">
        <f t="shared" si="30"/>
        <v>0.986923855733205-0.113320645577196i</v>
      </c>
      <c r="AE107" s="24" t="str">
        <f t="shared" si="31"/>
        <v>0.999997617181639-0.00167025880242087i</v>
      </c>
      <c r="AF107" s="24" t="str">
        <f t="shared" si="45"/>
        <v>6.76345976622648-0.788042376903842i</v>
      </c>
      <c r="AG107" s="24">
        <f t="shared" si="32"/>
        <v>6.8092142569580378</v>
      </c>
      <c r="AH107" s="24">
        <f t="shared" si="46"/>
        <v>-0.1159916823922037</v>
      </c>
      <c r="AI107" s="24">
        <f t="shared" si="27"/>
        <v>-6.6458338596951769</v>
      </c>
      <c r="AJ107" s="24">
        <f t="shared" si="47"/>
        <v>16.661939995802481</v>
      </c>
      <c r="AL107" s="24" t="str">
        <f t="shared" si="48"/>
        <v>0.00361151603232415-0.0599872735192425i</v>
      </c>
      <c r="AM107" s="24" t="str">
        <f t="shared" si="49"/>
        <v>1.00011464417107+0.0898566193879423i</v>
      </c>
      <c r="AN107" s="24" t="str">
        <f t="shared" si="50"/>
        <v>-3.02626600182839+20.059152915012i</v>
      </c>
      <c r="AO107" s="24">
        <f t="shared" si="33"/>
        <v>20.286150487011003</v>
      </c>
      <c r="AP107" s="24">
        <f t="shared" si="34"/>
        <v>1.7205341748436422</v>
      </c>
      <c r="AQ107" s="24">
        <f t="shared" si="35"/>
        <v>98.579346726564353</v>
      </c>
      <c r="AR107" s="24">
        <f t="shared" si="36"/>
        <v>26.143992857017693</v>
      </c>
      <c r="AS107" s="24">
        <f t="shared" si="51"/>
        <v>42.805932852820177</v>
      </c>
      <c r="AT107" s="24">
        <f t="shared" si="52"/>
        <v>91.933512866869179</v>
      </c>
    </row>
    <row r="108" spans="4:46">
      <c r="D108" s="13"/>
      <c r="Y108" s="24">
        <v>106</v>
      </c>
      <c r="Z108" s="24">
        <f t="shared" si="28"/>
        <v>678.39715951094945</v>
      </c>
      <c r="AA108" s="24" t="str">
        <f t="shared" si="37"/>
        <v>4262.49506507156i</v>
      </c>
      <c r="AB108" s="24">
        <f t="shared" si="29"/>
        <v>7.8571428571428568</v>
      </c>
      <c r="AD108" s="24" t="str">
        <f t="shared" si="30"/>
        <v>0.985237579519956-0.120302539309845i</v>
      </c>
      <c r="AE108" s="24" t="str">
        <f t="shared" si="31"/>
        <v>0.999997305271247-0.00177621596913054i</v>
      </c>
      <c r="AF108" s="24" t="str">
        <f t="shared" si="45"/>
        <v>6.75173196605421-0.836594960831094i</v>
      </c>
      <c r="AG108" s="24">
        <f t="shared" si="32"/>
        <v>6.8033650254801294</v>
      </c>
      <c r="AH108" s="24">
        <f t="shared" si="46"/>
        <v>-0.12327984829104974</v>
      </c>
      <c r="AI108" s="24">
        <f t="shared" si="27"/>
        <v>-7.0634150060902252</v>
      </c>
      <c r="AJ108" s="24">
        <f t="shared" si="47"/>
        <v>16.654475461542315</v>
      </c>
      <c r="AL108" s="24" t="str">
        <f t="shared" si="48"/>
        <v>0.00319482375861392-0.0564324096576189i</v>
      </c>
      <c r="AM108" s="24" t="str">
        <f t="shared" si="49"/>
        <v>1.00012965107223+0.0955569097012753i</v>
      </c>
      <c r="AN108" s="24" t="str">
        <f t="shared" si="50"/>
        <v>-2.88694394442827+18.8707261994701i</v>
      </c>
      <c r="AO108" s="24">
        <f t="shared" si="33"/>
        <v>19.09027900879498</v>
      </c>
      <c r="AP108" s="24">
        <f t="shared" si="34"/>
        <v>1.7226046090625891</v>
      </c>
      <c r="AQ108" s="24">
        <f t="shared" si="35"/>
        <v>98.697973869069472</v>
      </c>
      <c r="AR108" s="24">
        <f t="shared" si="36"/>
        <v>25.616245515065145</v>
      </c>
      <c r="AS108" s="24">
        <f t="shared" si="51"/>
        <v>42.270720976607464</v>
      </c>
      <c r="AT108" s="24">
        <f t="shared" si="52"/>
        <v>91.634558862979247</v>
      </c>
    </row>
    <row r="109" spans="4:46">
      <c r="D109" s="13"/>
      <c r="Y109" s="24">
        <v>107</v>
      </c>
      <c r="Z109" s="24">
        <f t="shared" si="28"/>
        <v>721.43321624585462</v>
      </c>
      <c r="AA109" s="24" t="str">
        <f t="shared" si="37"/>
        <v>4532.89858442727i</v>
      </c>
      <c r="AB109" s="24">
        <f t="shared" si="29"/>
        <v>7.8571428571428568</v>
      </c>
      <c r="AD109" s="24" t="str">
        <f t="shared" si="30"/>
        <v>0.98333753373204-0.12768632660607i</v>
      </c>
      <c r="AE109" s="24" t="str">
        <f t="shared" si="31"/>
        <v>0.999996952531954-0.00188889473751473i</v>
      </c>
      <c r="AF109" s="24" t="str">
        <f t="shared" si="45"/>
        <v>6.73851743035941-0.887942308705034i</v>
      </c>
      <c r="AG109" s="24">
        <f t="shared" si="32"/>
        <v>6.7967682543136636</v>
      </c>
      <c r="AH109" s="24">
        <f t="shared" si="46"/>
        <v>-0.1310163401851146</v>
      </c>
      <c r="AI109" s="24">
        <f t="shared" si="27"/>
        <v>-7.5066833398573127</v>
      </c>
      <c r="AJ109" s="24">
        <f t="shared" si="47"/>
        <v>16.64604924547011</v>
      </c>
      <c r="AL109" s="24" t="str">
        <f t="shared" si="48"/>
        <v>0.00282607256364392-0.0530856466241953i</v>
      </c>
      <c r="AM109" s="24" t="str">
        <f t="shared" si="49"/>
        <v>1.00014662236993+0.101618810046134i</v>
      </c>
      <c r="AN109" s="24" t="str">
        <f t="shared" si="50"/>
        <v>-2.76365100594428+17.7518876377991i</v>
      </c>
      <c r="AO109" s="24">
        <f t="shared" si="33"/>
        <v>17.965725189585346</v>
      </c>
      <c r="AP109" s="24">
        <f t="shared" si="34"/>
        <v>1.7252386473450843</v>
      </c>
      <c r="AQ109" s="24">
        <f t="shared" si="35"/>
        <v>98.848893145732347</v>
      </c>
      <c r="AR109" s="24">
        <f t="shared" si="36"/>
        <v>25.088895045317944</v>
      </c>
      <c r="AS109" s="24">
        <f t="shared" si="51"/>
        <v>41.73494429078805</v>
      </c>
      <c r="AT109" s="24">
        <f t="shared" si="52"/>
        <v>91.342209805875029</v>
      </c>
    </row>
    <row r="110" spans="4:46">
      <c r="D110" s="13"/>
      <c r="Y110" s="24">
        <v>108</v>
      </c>
      <c r="Z110" s="24">
        <f t="shared" si="28"/>
        <v>767.19938786011153</v>
      </c>
      <c r="AA110" s="24" t="str">
        <f t="shared" si="37"/>
        <v>4820.45592147983i</v>
      </c>
      <c r="AB110" s="24">
        <f t="shared" si="29"/>
        <v>7.8571428571428568</v>
      </c>
      <c r="AD110" s="24" t="str">
        <f t="shared" si="30"/>
        <v>0.981197626512246-0.135489509813852i</v>
      </c>
      <c r="AE110" s="24" t="str">
        <f t="shared" si="31"/>
        <v>0.999996553619306-0.00200872149266253i</v>
      </c>
      <c r="AF110" s="24" t="str">
        <f t="shared" si="45"/>
        <v>6.72363469418288-0.942206124730469i</v>
      </c>
      <c r="AG110" s="24">
        <f t="shared" si="32"/>
        <v>6.7893310334891837</v>
      </c>
      <c r="AH110" s="24">
        <f t="shared" si="46"/>
        <v>-0.13922682352417098</v>
      </c>
      <c r="AI110" s="24">
        <f t="shared" si="27"/>
        <v>-7.9771093829477238</v>
      </c>
      <c r="AJ110" s="24">
        <f t="shared" si="47"/>
        <v>16.636539689507135</v>
      </c>
      <c r="AL110" s="24" t="str">
        <f t="shared" si="48"/>
        <v>0.00249977643079545-0.0499352335389701i</v>
      </c>
      <c r="AM110" s="24" t="str">
        <f t="shared" si="49"/>
        <v>1.00016581520164+0.108065259349082i</v>
      </c>
      <c r="AN110" s="24" t="str">
        <f t="shared" si="50"/>
        <v>-2.65455292207302+16.6987088984974i</v>
      </c>
      <c r="AO110" s="24">
        <f t="shared" si="33"/>
        <v>16.908386383473815</v>
      </c>
      <c r="AP110" s="24">
        <f t="shared" si="34"/>
        <v>1.7284447528249609</v>
      </c>
      <c r="AQ110" s="24">
        <f t="shared" si="35"/>
        <v>99.032589458403024</v>
      </c>
      <c r="AR110" s="24">
        <f t="shared" si="36"/>
        <v>24.562043271776087</v>
      </c>
      <c r="AS110" s="24">
        <f t="shared" si="51"/>
        <v>41.198582961283222</v>
      </c>
      <c r="AT110" s="24">
        <f t="shared" si="52"/>
        <v>91.055480075455307</v>
      </c>
    </row>
    <row r="111" spans="4:46">
      <c r="D111" s="13"/>
      <c r="Y111" s="24">
        <v>109</v>
      </c>
      <c r="Z111" s="24">
        <f t="shared" si="28"/>
        <v>815.86886696986198</v>
      </c>
      <c r="AA111" s="24" t="str">
        <f t="shared" si="37"/>
        <v>5126.25527753029i</v>
      </c>
      <c r="AB111" s="24">
        <f t="shared" si="29"/>
        <v>7.8571428571428568</v>
      </c>
      <c r="AD111" s="24" t="str">
        <f t="shared" si="30"/>
        <v>0.978788855372177-0.143729193333782i</v>
      </c>
      <c r="AE111" s="24" t="str">
        <f t="shared" si="31"/>
        <v>0.999996102489276-0.00213614966479332i</v>
      </c>
      <c r="AF111" s="24" t="str">
        <f t="shared" si="45"/>
        <v>6.7068820495666-0.999505344036707i</v>
      </c>
      <c r="AG111" s="24">
        <f t="shared" si="32"/>
        <v>6.7809496207800146</v>
      </c>
      <c r="AH111" s="24">
        <f t="shared" si="46"/>
        <v>-0.1479380525632043</v>
      </c>
      <c r="AI111" s="24">
        <f t="shared" si="27"/>
        <v>-8.4762260412561368</v>
      </c>
      <c r="AJ111" s="24">
        <f t="shared" si="47"/>
        <v>16.625810355764585</v>
      </c>
      <c r="AL111" s="24" t="str">
        <f t="shared" si="48"/>
        <v>0.0022110706590917-0.0469700098534395i</v>
      </c>
      <c r="AM111" s="24" t="str">
        <f t="shared" si="49"/>
        <v>1.00018752036357+0.114920651563416i</v>
      </c>
      <c r="AN111" s="24" t="str">
        <f t="shared" si="50"/>
        <v>-2.55802316543349+15.7074590658362i</v>
      </c>
      <c r="AO111" s="24">
        <f t="shared" si="33"/>
        <v>15.914388232659594</v>
      </c>
      <c r="AP111" s="24">
        <f t="shared" si="34"/>
        <v>1.7322331435371077</v>
      </c>
      <c r="AQ111" s="24">
        <f t="shared" si="35"/>
        <v>99.249648257355602</v>
      </c>
      <c r="AR111" s="24">
        <f t="shared" si="36"/>
        <v>24.03579896999593</v>
      </c>
      <c r="AS111" s="24">
        <f t="shared" si="51"/>
        <v>40.661609325760516</v>
      </c>
      <c r="AT111" s="24">
        <f t="shared" si="52"/>
        <v>90.773422216099462</v>
      </c>
    </row>
    <row r="112" spans="4:46">
      <c r="D112" s="13"/>
      <c r="Y112" s="24">
        <v>110</v>
      </c>
      <c r="Z112" s="24">
        <f t="shared" si="28"/>
        <v>867.62583315832671</v>
      </c>
      <c r="AA112" s="24" t="str">
        <f t="shared" si="37"/>
        <v>5451.45388702985i</v>
      </c>
      <c r="AB112" s="24">
        <f t="shared" si="29"/>
        <v>7.8571428571428568</v>
      </c>
      <c r="AD112" s="24" t="str">
        <f t="shared" si="30"/>
        <v>0.976079057310876-0.152421790892796i</v>
      </c>
      <c r="AE112" s="24" t="str">
        <f t="shared" si="31"/>
        <v>0.99999559230669-0.00227166144416706i</v>
      </c>
      <c r="AF112" s="24" t="str">
        <f t="shared" si="45"/>
        <v>6.68803580766811-1.05995409671803i</v>
      </c>
      <c r="AG112" s="24">
        <f t="shared" si="32"/>
        <v>6.7715083734571406</v>
      </c>
      <c r="AH112" s="24">
        <f t="shared" si="46"/>
        <v>-0.15717783814810513</v>
      </c>
      <c r="AI112" s="24">
        <f t="shared" si="27"/>
        <v>-9.0056267588767707</v>
      </c>
      <c r="AJ112" s="24">
        <f t="shared" si="47"/>
        <v>16.613708396755644</v>
      </c>
      <c r="AL112" s="24" t="str">
        <f t="shared" si="48"/>
        <v>0.00195564290707693-0.044179388496186i</v>
      </c>
      <c r="AM112" s="24" t="str">
        <f t="shared" si="49"/>
        <v>1.00021206671635+0.122210927938607i</v>
      </c>
      <c r="AN112" s="24" t="str">
        <f t="shared" si="50"/>
        <v>-2.47261988987375+14.7745990069443i</v>
      </c>
      <c r="AO112" s="24">
        <f t="shared" si="33"/>
        <v>14.980074263360606</v>
      </c>
      <c r="AP112" s="24">
        <f t="shared" si="34"/>
        <v>1.7366157700088394</v>
      </c>
      <c r="AQ112" s="24">
        <f t="shared" si="35"/>
        <v>99.500754257368143</v>
      </c>
      <c r="AR112" s="24">
        <f t="shared" si="36"/>
        <v>23.510279327466247</v>
      </c>
      <c r="AS112" s="24">
        <f t="shared" si="51"/>
        <v>40.123987724221891</v>
      </c>
      <c r="AT112" s="24">
        <f t="shared" si="52"/>
        <v>90.495127498491371</v>
      </c>
    </row>
    <row r="113" spans="4:46">
      <c r="D113" s="13"/>
      <c r="Y113" s="24">
        <v>111</v>
      </c>
      <c r="Z113" s="24">
        <f t="shared" si="28"/>
        <v>922.66614996535543</v>
      </c>
      <c r="AA113" s="24" t="str">
        <f t="shared" si="37"/>
        <v>5797.28239689428i</v>
      </c>
      <c r="AB113" s="24">
        <f t="shared" si="29"/>
        <v>7.8571428571428568</v>
      </c>
      <c r="AD113" s="24" t="str">
        <f t="shared" si="30"/>
        <v>0.973032658710454-0.16158267276998i</v>
      </c>
      <c r="AE113" s="24" t="str">
        <f t="shared" si="31"/>
        <v>0.999995015341676-0.00241576960462771i</v>
      </c>
      <c r="AF113" s="24" t="str">
        <f t="shared" si="45"/>
        <v>6.66684855932473-1.12365925424356i</v>
      </c>
      <c r="AG113" s="24">
        <f t="shared" si="32"/>
        <v>6.760878628744746</v>
      </c>
      <c r="AH113" s="24">
        <f t="shared" si="46"/>
        <v>-0.16697499566622279</v>
      </c>
      <c r="AI113" s="24">
        <f t="shared" si="27"/>
        <v>-9.5669625358897772</v>
      </c>
      <c r="AJ113" s="24">
        <f t="shared" si="47"/>
        <v>16.600062791079853</v>
      </c>
      <c r="AL113" s="24" t="str">
        <f t="shared" si="48"/>
        <v>0.00172967157999157-0.0415533370045889i</v>
      </c>
      <c r="AM113" s="24" t="str">
        <f t="shared" si="49"/>
        <v>1.00023982616755+0.129963675136147i</v>
      </c>
      <c r="AN113" s="24" t="str">
        <f t="shared" si="50"/>
        <v>-2.3970653300043+13.8967750657028i</v>
      </c>
      <c r="AO113" s="24">
        <f t="shared" si="33"/>
        <v>14.101995583003411</v>
      </c>
      <c r="AP113" s="24">
        <f t="shared" si="34"/>
        <v>1.741606284906829</v>
      </c>
      <c r="AQ113" s="24">
        <f t="shared" si="35"/>
        <v>99.786689698620123</v>
      </c>
      <c r="AR113" s="24">
        <f t="shared" si="36"/>
        <v>22.985611486245311</v>
      </c>
      <c r="AS113" s="24">
        <f t="shared" si="51"/>
        <v>39.585674277325168</v>
      </c>
      <c r="AT113" s="24">
        <f t="shared" si="52"/>
        <v>90.219727162730351</v>
      </c>
    </row>
    <row r="114" spans="4:46">
      <c r="D114" s="13"/>
      <c r="R114" s="12"/>
      <c r="S114" s="12"/>
      <c r="T114" s="12"/>
      <c r="U114" s="12"/>
      <c r="V114" s="12"/>
      <c r="W114" s="12"/>
      <c r="X114" s="12"/>
      <c r="Y114" s="24">
        <v>112</v>
      </c>
      <c r="Z114" s="24">
        <f t="shared" si="28"/>
        <v>981.19810609251715</v>
      </c>
      <c r="AA114" s="24" t="str">
        <f t="shared" si="37"/>
        <v>6165.04952363294i</v>
      </c>
      <c r="AB114" s="24">
        <f t="shared" si="29"/>
        <v>7.8571428571428568</v>
      </c>
      <c r="AD114" s="24" t="str">
        <f t="shared" si="30"/>
        <v>0.969610432358495-0.17122574482987i</v>
      </c>
      <c r="AE114" s="24" t="str">
        <f t="shared" si="31"/>
        <v>0.999994362852549-0.00256901944263977i</v>
      </c>
      <c r="AF114" s="24" t="str">
        <f t="shared" si="45"/>
        <v>6.64304748518408-1.19071750159174i</v>
      </c>
      <c r="AG114" s="24">
        <f t="shared" si="32"/>
        <v>6.7489175472076557</v>
      </c>
      <c r="AH114" s="24">
        <f t="shared" si="46"/>
        <v>-0.17735926920495748</v>
      </c>
      <c r="AI114" s="24">
        <f t="shared" si="27"/>
        <v>-10.161937582968656</v>
      </c>
      <c r="AJ114" s="24">
        <f t="shared" si="47"/>
        <v>16.584682446332081</v>
      </c>
      <c r="AL114" s="24" t="str">
        <f t="shared" si="48"/>
        <v>0.00152977084721836-0.0390823572520052i</v>
      </c>
      <c r="AM114" s="24" t="str">
        <f t="shared" si="49"/>
        <v>1.00027121930618+0.138208229561293i</v>
      </c>
      <c r="AN114" s="24" t="str">
        <f t="shared" si="50"/>
        <v>-2.33022741755546+13.0708122871922i</v>
      </c>
      <c r="AO114" s="24">
        <f t="shared" si="33"/>
        <v>13.276900755241858</v>
      </c>
      <c r="AP114" s="24">
        <f t="shared" si="34"/>
        <v>1.7472200025702873</v>
      </c>
      <c r="AQ114" s="24">
        <f t="shared" si="35"/>
        <v>100.10833202811432</v>
      </c>
      <c r="AR114" s="24">
        <f t="shared" si="36"/>
        <v>22.461934178378165</v>
      </c>
      <c r="AS114" s="24">
        <f t="shared" si="51"/>
        <v>39.046616624710246</v>
      </c>
      <c r="AT114" s="24">
        <f t="shared" si="52"/>
        <v>89.946394445145657</v>
      </c>
    </row>
    <row r="115" spans="4:46">
      <c r="D115" s="13"/>
      <c r="R115" s="12"/>
      <c r="S115" s="12"/>
      <c r="T115" s="12"/>
      <c r="U115" s="12"/>
      <c r="V115" s="12"/>
      <c r="W115" s="12"/>
      <c r="X115" s="12"/>
      <c r="Y115" s="24">
        <v>113</v>
      </c>
      <c r="Z115" s="24">
        <f t="shared" si="28"/>
        <v>1043.443203628628</v>
      </c>
      <c r="AA115" s="24" t="str">
        <f t="shared" si="37"/>
        <v>6556.14700591579i</v>
      </c>
      <c r="AB115" s="24">
        <f t="shared" si="29"/>
        <v>7.8571428571428568</v>
      </c>
      <c r="AD115" s="24" t="str">
        <f t="shared" si="30"/>
        <v>0.965769271300403-0.181362951036622i</v>
      </c>
      <c r="AE115" s="24" t="str">
        <f t="shared" si="31"/>
        <v>0.999993624953377-0.00273199083910589i</v>
      </c>
      <c r="AF115" s="24" t="str">
        <f t="shared" si="45"/>
        <v>6.61633278288528-1.26121187719862i</v>
      </c>
      <c r="AG115" s="24">
        <f t="shared" si="32"/>
        <v>6.7354669394979094</v>
      </c>
      <c r="AH115" s="24">
        <f t="shared" si="46"/>
        <v>-0.18836122745120301</v>
      </c>
      <c r="AI115" s="24">
        <f t="shared" si="27"/>
        <v>-10.792303356857678</v>
      </c>
      <c r="AJ115" s="24">
        <f t="shared" si="47"/>
        <v>16.567354175546622</v>
      </c>
      <c r="AL115" s="24" t="str">
        <f t="shared" si="48"/>
        <v>0.0013529416303286-0.0367574642660987i</v>
      </c>
      <c r="AM115" s="24" t="str">
        <f t="shared" si="49"/>
        <v>1.00030672177481+0.14697578830333i</v>
      </c>
      <c r="AN115" s="24" t="str">
        <f t="shared" si="50"/>
        <v>-2.27110339399452+12.2937073384352i</v>
      </c>
      <c r="AO115" s="24">
        <f t="shared" si="33"/>
        <v>12.50172591082163</v>
      </c>
      <c r="AP115" s="24">
        <f t="shared" si="34"/>
        <v>1.7534738458401848</v>
      </c>
      <c r="AQ115" s="24">
        <f t="shared" si="35"/>
        <v>100.46665085321574</v>
      </c>
      <c r="AR115" s="24">
        <f t="shared" si="36"/>
        <v>21.939399463048087</v>
      </c>
      <c r="AS115" s="24">
        <f t="shared" si="51"/>
        <v>38.506753638594709</v>
      </c>
      <c r="AT115" s="24">
        <f t="shared" si="52"/>
        <v>89.674347496358067</v>
      </c>
    </row>
    <row r="116" spans="4:46">
      <c r="D116" s="13"/>
      <c r="R116" s="12"/>
      <c r="S116" s="12"/>
      <c r="T116" s="12"/>
      <c r="U116" s="12"/>
      <c r="V116" s="12"/>
      <c r="W116" s="12"/>
      <c r="X116" s="12"/>
      <c r="Y116" s="24">
        <v>114</v>
      </c>
      <c r="Z116" s="24">
        <f t="shared" si="28"/>
        <v>1109.6369962786232</v>
      </c>
      <c r="AA116" s="24" t="str">
        <f t="shared" si="37"/>
        <v>6972.05487132073i</v>
      </c>
      <c r="AB116" s="24">
        <f t="shared" si="29"/>
        <v>7.8571428571428568</v>
      </c>
      <c r="AD116" s="24" t="str">
        <f t="shared" si="30"/>
        <v>0.961461992025214-0.192003691313825i</v>
      </c>
      <c r="AE116" s="24" t="str">
        <f t="shared" si="31"/>
        <v>0.999992790464211-0.00290530045170889i</v>
      </c>
      <c r="AF116" s="24" t="str">
        <f t="shared" si="45"/>
        <v>6.5863762982512-1.33520772414004i</v>
      </c>
      <c r="AG116" s="24">
        <f t="shared" si="32"/>
        <v>6.7203521045231263</v>
      </c>
      <c r="AH116" s="24">
        <f t="shared" si="46"/>
        <v>-0.20001212635377397</v>
      </c>
      <c r="AI116" s="24">
        <f t="shared" si="27"/>
        <v>-11.459850691508596</v>
      </c>
      <c r="AJ116" s="24">
        <f t="shared" si="47"/>
        <v>16.547840559425989</v>
      </c>
      <c r="AL116" s="24" t="str">
        <f t="shared" si="48"/>
        <v>0.00119652795538753-0.0345701645387971i</v>
      </c>
      <c r="AM116" s="24" t="str">
        <f t="shared" si="49"/>
        <v>1.00034687147555+0.156299527101544i</v>
      </c>
      <c r="AN116" s="24" t="str">
        <f t="shared" si="50"/>
        <v>-2.21880521666927+11.5626212593447i</v>
      </c>
      <c r="AO116" s="24">
        <f t="shared" si="33"/>
        <v>11.773585136931265</v>
      </c>
      <c r="AP116" s="24">
        <f t="shared" si="34"/>
        <v>1.7603862771387162</v>
      </c>
      <c r="AQ116" s="24">
        <f t="shared" si="35"/>
        <v>100.86270399279572</v>
      </c>
      <c r="AR116" s="24">
        <f t="shared" si="36"/>
        <v>21.418174572251367</v>
      </c>
      <c r="AS116" s="24">
        <f t="shared" si="51"/>
        <v>37.966015131677352</v>
      </c>
      <c r="AT116" s="24">
        <f t="shared" si="52"/>
        <v>89.402853301287124</v>
      </c>
    </row>
    <row r="117" spans="4:46">
      <c r="D117" s="13"/>
      <c r="R117" s="12"/>
      <c r="S117" s="12"/>
      <c r="T117" s="12"/>
      <c r="U117" s="12"/>
      <c r="V117" s="12"/>
      <c r="W117" s="12"/>
      <c r="X117" s="12"/>
      <c r="Y117" s="24">
        <v>115</v>
      </c>
      <c r="Z117" s="24">
        <f t="shared" si="28"/>
        <v>1180.0299807678607</v>
      </c>
      <c r="AA117" s="24" t="str">
        <f t="shared" si="37"/>
        <v>7414.34703719203i</v>
      </c>
      <c r="AB117" s="24">
        <f t="shared" si="29"/>
        <v>7.8571428571428568</v>
      </c>
      <c r="AD117" s="24" t="str">
        <f t="shared" si="30"/>
        <v>0.956637182749063-0.203154147341221i</v>
      </c>
      <c r="AE117" s="24" t="str">
        <f t="shared" si="31"/>
        <v>0.999991846741704-0.00308960404600271i</v>
      </c>
      <c r="AF117" s="24" t="str">
        <f t="shared" si="45"/>
        <v>6.55282047012949-1.41274800102069i</v>
      </c>
      <c r="AG117" s="24">
        <f t="shared" si="32"/>
        <v>6.703380716335305</v>
      </c>
      <c r="AH117" s="24">
        <f t="shared" si="46"/>
        <v>-0.21234373308763541</v>
      </c>
      <c r="AI117" s="24">
        <f t="shared" si="27"/>
        <v>-12.166399711973963</v>
      </c>
      <c r="AJ117" s="24">
        <f t="shared" si="47"/>
        <v>16.525877714170818</v>
      </c>
      <c r="AL117" s="24" t="str">
        <f t="shared" si="48"/>
        <v>0.00105817811521095-0.0325124341489135i</v>
      </c>
      <c r="AM117" s="24" t="str">
        <f t="shared" si="49"/>
        <v>1.00039227671933+0.166214725780151i</v>
      </c>
      <c r="AN117" s="24" t="str">
        <f t="shared" si="50"/>
        <v>-2.1725465731414+10.8748721512303i</v>
      </c>
      <c r="AO117" s="24">
        <f t="shared" si="33"/>
        <v>11.089761174979051</v>
      </c>
      <c r="AP117" s="24">
        <f t="shared" si="34"/>
        <v>1.7679772102652871</v>
      </c>
      <c r="AQ117" s="24">
        <f t="shared" si="35"/>
        <v>101.29763242351427</v>
      </c>
      <c r="AR117" s="24">
        <f t="shared" si="36"/>
        <v>20.898443868870356</v>
      </c>
      <c r="AS117" s="24">
        <f t="shared" si="51"/>
        <v>37.424321583041177</v>
      </c>
      <c r="AT117" s="24">
        <f t="shared" si="52"/>
        <v>89.131232711540306</v>
      </c>
    </row>
    <row r="118" spans="4:46">
      <c r="D118" s="13"/>
      <c r="R118" s="12"/>
      <c r="S118" s="12"/>
      <c r="T118" s="12"/>
      <c r="U118" s="12"/>
      <c r="V118" s="12"/>
      <c r="W118" s="12"/>
      <c r="X118" s="12"/>
      <c r="Y118" s="24">
        <v>116</v>
      </c>
      <c r="Z118" s="24">
        <f t="shared" si="28"/>
        <v>1254.8885447951977</v>
      </c>
      <c r="AA118" s="24" t="str">
        <f t="shared" si="37"/>
        <v>7884.69726680516i</v>
      </c>
      <c r="AB118" s="24">
        <f t="shared" si="29"/>
        <v>7.8571428571428568</v>
      </c>
      <c r="AD118" s="24" t="str">
        <f t="shared" si="30"/>
        <v>0.951239116260483-0.214816510341234i</v>
      </c>
      <c r="AE118" s="24" t="str">
        <f t="shared" si="31"/>
        <v>0.999990779487584-0.00328559897398815i</v>
      </c>
      <c r="AF118" s="24" t="str">
        <f t="shared" si="45"/>
        <v>6.51527772425336-1.49384791120828i</v>
      </c>
      <c r="AG118" s="24">
        <f t="shared" si="32"/>
        <v>6.6843418079847901</v>
      </c>
      <c r="AH118" s="24">
        <f t="shared" si="46"/>
        <v>-0.22538810544202639</v>
      </c>
      <c r="AI118" s="24">
        <f t="shared" si="27"/>
        <v>-12.913787194277694</v>
      </c>
      <c r="AJ118" s="24">
        <f t="shared" si="47"/>
        <v>16.501172994164289</v>
      </c>
      <c r="AL118" s="24" t="str">
        <f t="shared" si="48"/>
        <v>0.000935810137131348-0.0305766969523948i</v>
      </c>
      <c r="AM118" s="24" t="str">
        <f t="shared" si="49"/>
        <v>1.00044362544167+0.17675890162304i</v>
      </c>
      <c r="AN118" s="24" t="str">
        <f t="shared" si="50"/>
        <v>-2.13163133504564+10.2279278881205i</v>
      </c>
      <c r="AO118" s="24">
        <f t="shared" si="33"/>
        <v>10.447696446257497</v>
      </c>
      <c r="AP118" s="24">
        <f t="shared" si="34"/>
        <v>1.7762678988619829</v>
      </c>
      <c r="AQ118" s="24">
        <f t="shared" si="35"/>
        <v>101.77265388936218</v>
      </c>
      <c r="AR118" s="24">
        <f t="shared" si="36"/>
        <v>20.380410917152759</v>
      </c>
      <c r="AS118" s="24">
        <f t="shared" si="51"/>
        <v>36.881583911317051</v>
      </c>
      <c r="AT118" s="24">
        <f t="shared" si="52"/>
        <v>88.858866695084487</v>
      </c>
    </row>
    <row r="119" spans="4:46">
      <c r="D119" s="13"/>
      <c r="R119" s="12"/>
      <c r="S119" s="12"/>
      <c r="T119" s="12"/>
      <c r="U119" s="12"/>
      <c r="V119" s="12"/>
      <c r="W119" s="12"/>
      <c r="X119" s="12"/>
      <c r="Y119" s="24">
        <v>117</v>
      </c>
      <c r="Z119" s="24">
        <f t="shared" si="28"/>
        <v>1334.4959751221782</v>
      </c>
      <c r="AA119" s="24" t="str">
        <f t="shared" si="37"/>
        <v>8384.88550337796i</v>
      </c>
      <c r="AB119" s="24">
        <f t="shared" si="29"/>
        <v>7.8571428571428568</v>
      </c>
      <c r="AD119" s="24" t="str">
        <f t="shared" si="30"/>
        <v>0.945207750858462-0.226988107342328i</v>
      </c>
      <c r="AE119" s="24" t="str">
        <f t="shared" si="31"/>
        <v>0.999989572532032-0.00349402680944891i</v>
      </c>
      <c r="AF119" s="24" t="str">
        <f t="shared" si="45"/>
        <v>6.47333047977631-1.57848882598009i</v>
      </c>
      <c r="AG119" s="24">
        <f t="shared" si="32"/>
        <v>6.6630049132613589</v>
      </c>
      <c r="AH119" s="24">
        <f t="shared" si="46"/>
        <v>-0.23917732045687065</v>
      </c>
      <c r="AI119" s="24">
        <f t="shared" si="27"/>
        <v>-13.703851017426693</v>
      </c>
      <c r="AJ119" s="24">
        <f t="shared" si="47"/>
        <v>16.473402670289964</v>
      </c>
      <c r="AL119" s="24" t="str">
        <f t="shared" si="48"/>
        <v>0.000827581098973469-0.0287558030403967i</v>
      </c>
      <c r="AM119" s="24" t="str">
        <f t="shared" si="49"/>
        <v>1.00050169562459+0.187971951188483i</v>
      </c>
      <c r="AN119" s="24" t="str">
        <f t="shared" si="50"/>
        <v>-2.09544329857237+9.61939891785025i</v>
      </c>
      <c r="AO119" s="24">
        <f t="shared" si="33"/>
        <v>9.8449844163548779</v>
      </c>
      <c r="AP119" s="24">
        <f t="shared" si="34"/>
        <v>1.7852807969749718</v>
      </c>
      <c r="AQ119" s="24">
        <f t="shared" si="35"/>
        <v>102.28905491241787</v>
      </c>
      <c r="AR119" s="24">
        <f t="shared" si="36"/>
        <v>19.864300660581893</v>
      </c>
      <c r="AS119" s="24">
        <f t="shared" si="51"/>
        <v>36.337703330871861</v>
      </c>
      <c r="AT119" s="24">
        <f t="shared" si="52"/>
        <v>88.585203894991167</v>
      </c>
    </row>
    <row r="120" spans="4:46">
      <c r="D120" s="13"/>
      <c r="R120" s="12"/>
      <c r="S120" s="12"/>
      <c r="T120" s="12"/>
      <c r="U120" s="12"/>
      <c r="V120" s="12"/>
      <c r="W120" s="12"/>
      <c r="X120" s="12"/>
      <c r="Y120" s="24">
        <v>118</v>
      </c>
      <c r="Z120" s="24">
        <f t="shared" si="28"/>
        <v>1419.1535296132129</v>
      </c>
      <c r="AA120" s="24" t="str">
        <f t="shared" si="37"/>
        <v>8916.80460589779i</v>
      </c>
      <c r="AB120" s="24">
        <f t="shared" si="29"/>
        <v>7.8571428571428568</v>
      </c>
      <c r="AD120" s="24" t="str">
        <f t="shared" si="30"/>
        <v>0.938478847201024-0.239660426083447i</v>
      </c>
      <c r="AE120" s="24" t="str">
        <f t="shared" si="31"/>
        <v>0.999988207588736-0.00371567614989684i</v>
      </c>
      <c r="AF120" s="24" t="str">
        <f t="shared" si="45"/>
        <v>6.42653196194984-1.66661150272371i</v>
      </c>
      <c r="AG120" s="24">
        <f t="shared" si="32"/>
        <v>6.6391194415354402</v>
      </c>
      <c r="AH120" s="24">
        <f t="shared" si="46"/>
        <v>-0.25374314602166559</v>
      </c>
      <c r="AI120" s="24">
        <f t="shared" si="27"/>
        <v>-14.538411347413204</v>
      </c>
      <c r="AJ120" s="24">
        <f t="shared" si="47"/>
        <v>16.442209638439653</v>
      </c>
      <c r="AL120" s="24" t="str">
        <f t="shared" si="48"/>
        <v>0.000731859880027482-0.02704300762015i</v>
      </c>
      <c r="AM120" s="24" t="str">
        <f t="shared" si="49"/>
        <v>1.00056736708251+0.199896301094951i</v>
      </c>
      <c r="AN120" s="24" t="str">
        <f t="shared" si="50"/>
        <v>-2.0634370734113+9.04703120474182i</v>
      </c>
      <c r="AO120" s="24">
        <f t="shared" si="33"/>
        <v>9.2793613021317594</v>
      </c>
      <c r="AP120" s="24">
        <f t="shared" si="34"/>
        <v>1.7950393866181487</v>
      </c>
      <c r="AQ120" s="24">
        <f t="shared" si="35"/>
        <v>102.84818091297198</v>
      </c>
      <c r="AR120" s="24">
        <f t="shared" si="36"/>
        <v>19.350361695701189</v>
      </c>
      <c r="AS120" s="24">
        <f t="shared" si="51"/>
        <v>35.792571334140845</v>
      </c>
      <c r="AT120" s="24">
        <f t="shared" si="52"/>
        <v>88.309769565558781</v>
      </c>
    </row>
    <row r="121" spans="4:46">
      <c r="D121" s="13"/>
      <c r="R121" s="12"/>
      <c r="S121" s="12"/>
      <c r="T121" s="12"/>
      <c r="U121" s="12"/>
      <c r="V121" s="12"/>
      <c r="W121" s="12"/>
      <c r="X121" s="12"/>
      <c r="Y121" s="24">
        <v>119</v>
      </c>
      <c r="Z121" s="24">
        <f t="shared" si="28"/>
        <v>1509.1815772837017</v>
      </c>
      <c r="AA121" s="24" t="str">
        <f t="shared" si="37"/>
        <v>9482.46751225507i</v>
      </c>
      <c r="AB121" s="24">
        <f t="shared" si="29"/>
        <v>7.8571428571428568</v>
      </c>
      <c r="AD121" s="24" t="str">
        <f t="shared" si="30"/>
        <v>0.930984233142114-0.252818043933908i</v>
      </c>
      <c r="AE121" s="24" t="str">
        <f t="shared" si="31"/>
        <v>0.999986663977872-0.00395138559557954i</v>
      </c>
      <c r="AF121" s="24" t="str">
        <f t="shared" si="45"/>
        <v>6.37440804404075-1.75810863556945i</v>
      </c>
      <c r="AG121" s="24">
        <f t="shared" si="32"/>
        <v>6.612414376488764</v>
      </c>
      <c r="AH121" s="24">
        <f t="shared" si="46"/>
        <v>-0.26911664931392398</v>
      </c>
      <c r="AI121" s="24">
        <f t="shared" si="27"/>
        <v>-15.419248202390087</v>
      </c>
      <c r="AJ121" s="24">
        <f t="shared" si="47"/>
        <v>16.407201228852117</v>
      </c>
      <c r="AL121" s="24" t="str">
        <f t="shared" si="48"/>
        <v>0.000647202974688302-0.0254319504363676i</v>
      </c>
      <c r="AM121" s="24" t="str">
        <f t="shared" si="49"/>
        <v>1.00064163479059+0.212577068342008i</v>
      </c>
      <c r="AN121" s="24" t="str">
        <f t="shared" si="50"/>
        <v>-2.0351299956623+8.50869935326262i</v>
      </c>
      <c r="AO121" s="24">
        <f t="shared" si="33"/>
        <v>8.7486981193464519</v>
      </c>
      <c r="AP121" s="24">
        <f t="shared" si="34"/>
        <v>1.8055679667608067</v>
      </c>
      <c r="AQ121" s="24">
        <f t="shared" si="35"/>
        <v>103.45142411941154</v>
      </c>
      <c r="AR121" s="24">
        <f t="shared" si="36"/>
        <v>18.838868622389171</v>
      </c>
      <c r="AS121" s="24">
        <f t="shared" si="51"/>
        <v>35.246069851241288</v>
      </c>
      <c r="AT121" s="24">
        <f t="shared" si="52"/>
        <v>88.032175917021448</v>
      </c>
    </row>
    <row r="122" spans="4:46">
      <c r="D122" s="13"/>
      <c r="R122" s="12"/>
      <c r="S122" s="12"/>
      <c r="T122" s="12"/>
      <c r="U122" s="12"/>
      <c r="V122" s="12"/>
      <c r="W122" s="12"/>
      <c r="X122" s="12"/>
      <c r="Y122" s="24">
        <v>120</v>
      </c>
      <c r="Z122" s="24">
        <f t="shared" si="28"/>
        <v>1604.9208106703452</v>
      </c>
      <c r="AA122" s="24" t="str">
        <f t="shared" si="37"/>
        <v>10084.0148567907i</v>
      </c>
      <c r="AB122" s="24">
        <f t="shared" si="29"/>
        <v>7.8571428571428568</v>
      </c>
      <c r="AD122" s="24" t="str">
        <f t="shared" si="30"/>
        <v>0.922652252492102-0.266437473231463i</v>
      </c>
      <c r="AE122" s="24" t="str">
        <f t="shared" si="31"/>
        <v>0.99998491831285-0.00420204691664402i</v>
      </c>
      <c r="AF122" s="24" t="str">
        <f t="shared" si="45"/>
        <v>6.31646036841329-1.85281682471301i</v>
      </c>
      <c r="AG122" s="24">
        <f t="shared" si="32"/>
        <v>6.5825984057722495</v>
      </c>
      <c r="AH122" s="24">
        <f t="shared" si="46"/>
        <v>-0.28532773649406284</v>
      </c>
      <c r="AI122" s="24">
        <f t="shared" si="27"/>
        <v>-16.348075079130677</v>
      </c>
      <c r="AJ122" s="24">
        <f t="shared" si="47"/>
        <v>16.367947205207166</v>
      </c>
      <c r="AL122" s="24" t="str">
        <f t="shared" si="48"/>
        <v>0.000572333034069211-0.0239166358204352i</v>
      </c>
      <c r="AM122" s="24" t="str">
        <f t="shared" si="49"/>
        <v>1.00072562395732+0.226062230765016i</v>
      </c>
      <c r="AN122" s="24" t="str">
        <f t="shared" si="50"/>
        <v>-2.01009495280339+8.0023999418446i</v>
      </c>
      <c r="AO122" s="24">
        <f t="shared" si="33"/>
        <v>8.2509930643844385</v>
      </c>
      <c r="AP122" s="24">
        <f t="shared" si="34"/>
        <v>1.8168913977526482</v>
      </c>
      <c r="AQ122" s="24">
        <f t="shared" si="35"/>
        <v>104.10020892485169</v>
      </c>
      <c r="AR122" s="24">
        <f t="shared" si="36"/>
        <v>18.330124441125481</v>
      </c>
      <c r="AS122" s="24">
        <f t="shared" si="51"/>
        <v>34.69807164633265</v>
      </c>
      <c r="AT122" s="24">
        <f t="shared" si="52"/>
        <v>87.752133845721005</v>
      </c>
    </row>
    <row r="123" spans="4:46">
      <c r="D123" s="13"/>
      <c r="R123" s="12"/>
      <c r="S123" s="12"/>
      <c r="T123" s="12"/>
      <c r="U123" s="12"/>
      <c r="V123" s="12"/>
      <c r="W123" s="12"/>
      <c r="X123" s="12"/>
      <c r="Y123" s="24">
        <v>121</v>
      </c>
      <c r="Z123" s="24">
        <f t="shared" si="28"/>
        <v>1706.7335351116335</v>
      </c>
      <c r="AA123" s="24" t="str">
        <f t="shared" si="37"/>
        <v>10723.7230710841i</v>
      </c>
      <c r="AB123" s="24">
        <f t="shared" si="29"/>
        <v>7.8571428571428568</v>
      </c>
      <c r="AD123" s="24" t="str">
        <f t="shared" si="30"/>
        <v>0.913408436560128-0.280485944527863i</v>
      </c>
      <c r="AE123" s="24" t="str">
        <f t="shared" si="31"/>
        <v>0.999982944146047-0.0044686084202247i</v>
      </c>
      <c r="AF123" s="24" t="str">
        <f t="shared" si="45"/>
        <v>6.25217101702991-1.95050811388303i</v>
      </c>
      <c r="AG123" s="24">
        <f t="shared" si="32"/>
        <v>6.5493606045561688</v>
      </c>
      <c r="AH123" s="24">
        <f t="shared" si="46"/>
        <v>-0.30240461911035499</v>
      </c>
      <c r="AI123" s="24">
        <f t="shared" si="27"/>
        <v>-17.32650838028454</v>
      </c>
      <c r="AJ123" s="24">
        <f t="shared" si="47"/>
        <v>16.323978062530585</v>
      </c>
      <c r="AL123" s="24" t="str">
        <f t="shared" si="48"/>
        <v>0.000506119835355353-0.0224914134297428i</v>
      </c>
      <c r="AM123" s="24" t="str">
        <f t="shared" si="49"/>
        <v>1.00082060706958+0.240402808259086i</v>
      </c>
      <c r="AN123" s="24" t="str">
        <f t="shared" si="50"/>
        <v>-1.98795402032609+7.52624508773179i</v>
      </c>
      <c r="AO123" s="24">
        <f t="shared" si="33"/>
        <v>7.784364219866486</v>
      </c>
      <c r="AP123" s="24">
        <f t="shared" si="34"/>
        <v>1.8290347949216894</v>
      </c>
      <c r="AQ123" s="24">
        <f t="shared" si="35"/>
        <v>104.79597433158885</v>
      </c>
      <c r="AR123" s="24">
        <f t="shared" si="36"/>
        <v>17.824462955734358</v>
      </c>
      <c r="AS123" s="24">
        <f t="shared" si="51"/>
        <v>34.148441018264947</v>
      </c>
      <c r="AT123" s="24">
        <f t="shared" si="52"/>
        <v>87.469465951304315</v>
      </c>
    </row>
    <row r="124" spans="4:46">
      <c r="D124" s="13"/>
      <c r="R124" s="12"/>
      <c r="S124" s="12"/>
      <c r="T124" s="12"/>
      <c r="U124" s="12"/>
      <c r="V124" s="12"/>
      <c r="W124" s="12"/>
      <c r="X124" s="12"/>
      <c r="Y124" s="24">
        <v>122</v>
      </c>
      <c r="Z124" s="24">
        <f t="shared" si="28"/>
        <v>1815.0050398174897</v>
      </c>
      <c r="AA124" s="24" t="str">
        <f t="shared" si="37"/>
        <v>11404.0129986382i</v>
      </c>
      <c r="AB124" s="24">
        <f t="shared" si="29"/>
        <v>7.8571428571428568</v>
      </c>
      <c r="AD124" s="24" t="str">
        <f t="shared" si="30"/>
        <v>0.903176438615751-0.294920160512896i</v>
      </c>
      <c r="AE124" s="24" t="str">
        <f t="shared" si="31"/>
        <v>0.999980711568208-0.0047520785299382i</v>
      </c>
      <c r="AF124" s="24" t="str">
        <f t="shared" si="45"/>
        <v>6.18100901052148-2.05088132387056i</v>
      </c>
      <c r="AG124" s="24">
        <f t="shared" si="32"/>
        <v>6.5123718100818522</v>
      </c>
      <c r="AH124" s="24">
        <f t="shared" si="46"/>
        <v>-0.32037320433354594</v>
      </c>
      <c r="AI124" s="24">
        <f t="shared" si="27"/>
        <v>-18.356032477394518</v>
      </c>
      <c r="AJ124" s="24">
        <f t="shared" si="47"/>
        <v>16.274783754260604</v>
      </c>
      <c r="AL124" s="24" t="str">
        <f t="shared" si="48"/>
        <v>0.000447563410053814-0.0211509597193081i</v>
      </c>
      <c r="AM124" s="24" t="str">
        <f t="shared" si="49"/>
        <v>1.00092802316816+0.255653055446552i</v>
      </c>
      <c r="AN124" s="24" t="str">
        <f t="shared" si="50"/>
        <v>-1.96837282014347+7.0784562569657i</v>
      </c>
      <c r="AO124" s="24">
        <f t="shared" si="33"/>
        <v>7.3470425710524125</v>
      </c>
      <c r="AP124" s="24">
        <f t="shared" si="34"/>
        <v>1.8420231650044712</v>
      </c>
      <c r="AQ124" s="24">
        <f t="shared" si="35"/>
        <v>105.54015312008623</v>
      </c>
      <c r="AR124" s="24">
        <f t="shared" si="36"/>
        <v>17.322251125782554</v>
      </c>
      <c r="AS124" s="24">
        <f t="shared" si="51"/>
        <v>33.597034880043154</v>
      </c>
      <c r="AT124" s="24">
        <f t="shared" si="52"/>
        <v>87.18412064269171</v>
      </c>
    </row>
    <row r="125" spans="4:46">
      <c r="D125" s="13"/>
      <c r="R125" s="12"/>
      <c r="S125" s="12"/>
      <c r="T125" s="12"/>
      <c r="U125" s="12"/>
      <c r="V125" s="12"/>
      <c r="W125" s="12"/>
      <c r="X125" s="12"/>
      <c r="Y125" s="24">
        <v>123</v>
      </c>
      <c r="Z125" s="24">
        <f t="shared" si="28"/>
        <v>1930.1450559166665</v>
      </c>
      <c r="AA125" s="24" t="str">
        <f t="shared" si="37"/>
        <v>12127.4590560609i</v>
      </c>
      <c r="AB125" s="24">
        <f t="shared" si="29"/>
        <v>7.8571428571428568</v>
      </c>
      <c r="AD125" s="24" t="str">
        <f t="shared" si="30"/>
        <v>0.89187927015188-0.309685066817397i</v>
      </c>
      <c r="AE125" s="24" t="str">
        <f t="shared" si="31"/>
        <v>0.999978186755407-0.00505352959101631i</v>
      </c>
      <c r="AF125" s="24" t="str">
        <f t="shared" si="45"/>
        <v>6.10243890624573-2.15355350343762i</v>
      </c>
      <c r="AG125" s="24">
        <f t="shared" si="32"/>
        <v>6.4712868346743857</v>
      </c>
      <c r="AH125" s="24">
        <f t="shared" si="46"/>
        <v>-0.33925640857119899</v>
      </c>
      <c r="AI125" s="24">
        <f t="shared" si="27"/>
        <v>-19.437960383895589</v>
      </c>
      <c r="AJ125" s="24">
        <f t="shared" si="47"/>
        <v>16.219813000170046</v>
      </c>
      <c r="AL125" s="24" t="str">
        <f t="shared" si="48"/>
        <v>0.000395779090780113-0.0198902601715366i</v>
      </c>
      <c r="AM125" s="24" t="str">
        <f t="shared" si="49"/>
        <v>1.0010494996456+0.271870666503157i</v>
      </c>
      <c r="AN125" s="24" t="str">
        <f t="shared" si="50"/>
        <v>-1.95105552039849+6.65735832816932i</v>
      </c>
      <c r="AO125" s="24">
        <f t="shared" si="33"/>
        <v>6.9373653178510661</v>
      </c>
      <c r="AP125" s="24">
        <f t="shared" si="34"/>
        <v>1.855880979281564</v>
      </c>
      <c r="AQ125" s="24">
        <f t="shared" si="35"/>
        <v>106.33414739143979</v>
      </c>
      <c r="AR125" s="24">
        <f t="shared" si="36"/>
        <v>16.82389129621647</v>
      </c>
      <c r="AS125" s="24">
        <f t="shared" si="51"/>
        <v>33.043704296386515</v>
      </c>
      <c r="AT125" s="24">
        <f t="shared" si="52"/>
        <v>86.896187007544199</v>
      </c>
    </row>
    <row r="126" spans="4:46">
      <c r="D126" s="13"/>
      <c r="R126" s="12"/>
      <c r="S126" s="12"/>
      <c r="T126" s="12"/>
      <c r="U126" s="12"/>
      <c r="V126" s="12"/>
      <c r="W126" s="12"/>
      <c r="X126" s="12"/>
      <c r="Y126" s="24">
        <v>124</v>
      </c>
      <c r="Z126" s="24">
        <f t="shared" si="28"/>
        <v>2052.58930699948</v>
      </c>
      <c r="AA126" s="24" t="str">
        <f t="shared" si="37"/>
        <v>12896.7989754131i</v>
      </c>
      <c r="AB126" s="24">
        <f t="shared" si="29"/>
        <v>7.8571428571428568</v>
      </c>
      <c r="AD126" s="24" t="str">
        <f t="shared" si="30"/>
        <v>0.879440872991144-0.324712701142599i</v>
      </c>
      <c r="AE126" s="24" t="str">
        <f t="shared" si="31"/>
        <v>0.99997533145675-0.00537410191510139i</v>
      </c>
      <c r="AF126" s="24" t="str">
        <f t="shared" si="45"/>
        <v>6.01593173209296-2.25805192496203i</v>
      </c>
      <c r="AG126" s="24">
        <f t="shared" si="32"/>
        <v>6.4257476686396364</v>
      </c>
      <c r="AH126" s="24">
        <f t="shared" si="46"/>
        <v>-0.35907339733123883</v>
      </c>
      <c r="AI126" s="24">
        <f t="shared" si="27"/>
        <v>-20.573390202504065</v>
      </c>
      <c r="AJ126" s="24">
        <f t="shared" si="47"/>
        <v>16.158473346597422</v>
      </c>
      <c r="AL126" s="24" t="str">
        <f t="shared" si="48"/>
        <v>0.000349984261976106-0.0187045922968793i</v>
      </c>
      <c r="AM126" s="24" t="str">
        <f t="shared" si="49"/>
        <v>1.0011868768962+0.289116992901418i</v>
      </c>
      <c r="AN126" s="24" t="str">
        <f t="shared" si="50"/>
        <v>-1.93574040491057+6.2613739144152i</v>
      </c>
      <c r="AO126" s="24">
        <f t="shared" si="33"/>
        <v>6.5537694658358605</v>
      </c>
      <c r="AP126" s="24">
        <f t="shared" si="34"/>
        <v>1.8706316779013767</v>
      </c>
      <c r="AQ126" s="24">
        <f t="shared" si="35"/>
        <v>107.17930016722451</v>
      </c>
      <c r="AR126" s="24">
        <f t="shared" si="36"/>
        <v>16.329823213077731</v>
      </c>
      <c r="AS126" s="24">
        <f t="shared" si="51"/>
        <v>32.488296559675149</v>
      </c>
      <c r="AT126" s="24">
        <f t="shared" si="52"/>
        <v>86.605909964720439</v>
      </c>
    </row>
    <row r="127" spans="4:46">
      <c r="D127" s="13"/>
      <c r="R127" s="12"/>
      <c r="S127" s="12"/>
      <c r="T127" s="12"/>
      <c r="U127" s="12"/>
      <c r="V127" s="12"/>
      <c r="W127" s="12"/>
      <c r="X127" s="12"/>
      <c r="Y127" s="24">
        <v>125</v>
      </c>
      <c r="Z127" s="24">
        <f t="shared" si="28"/>
        <v>2182.8011580236971</v>
      </c>
      <c r="AA127" s="24" t="str">
        <f t="shared" si="37"/>
        <v>13714.9441645891i</v>
      </c>
      <c r="AB127" s="24">
        <f t="shared" si="29"/>
        <v>7.8571428571428568</v>
      </c>
      <c r="AD127" s="24" t="str">
        <f t="shared" si="30"/>
        <v>0.865788051711327-0.339921198499215i</v>
      </c>
      <c r="AE127" s="24" t="str">
        <f t="shared" si="31"/>
        <v>0.99997210241505-0.00571500807955657i</v>
      </c>
      <c r="AF127" s="24" t="str">
        <f t="shared" si="45"/>
        <v>5.92097842626382-2.36380716579043i</v>
      </c>
      <c r="AG127" s="24">
        <f t="shared" si="32"/>
        <v>6.3753878188957067</v>
      </c>
      <c r="AH127" s="24">
        <f t="shared" si="46"/>
        <v>-0.37983875850447657</v>
      </c>
      <c r="AI127" s="24">
        <f t="shared" si="27"/>
        <v>-21.763157757795412</v>
      </c>
      <c r="AJ127" s="24">
        <f t="shared" si="47"/>
        <v>16.090132166381817</v>
      </c>
      <c r="AL127" s="24" t="str">
        <f t="shared" si="48"/>
        <v>0.000309486623175609-0.0175895094077602i</v>
      </c>
      <c r="AM127" s="24" t="str">
        <f t="shared" si="49"/>
        <v>1.00134223619128+0.307457274875056i</v>
      </c>
      <c r="AN127" s="24" t="str">
        <f t="shared" si="50"/>
        <v>-1.92219594826155+5.88901794399184i</v>
      </c>
      <c r="AO127" s="24">
        <f t="shared" si="33"/>
        <v>6.1947856789537923</v>
      </c>
      <c r="AP127" s="24">
        <f t="shared" si="34"/>
        <v>1.8862971010035927</v>
      </c>
      <c r="AQ127" s="24">
        <f t="shared" si="35"/>
        <v>108.07686279526823</v>
      </c>
      <c r="AR127" s="24">
        <f t="shared" si="36"/>
        <v>15.840525713651417</v>
      </c>
      <c r="AS127" s="24">
        <f t="shared" si="51"/>
        <v>31.930657880033234</v>
      </c>
      <c r="AT127" s="24">
        <f t="shared" si="52"/>
        <v>86.313705037472815</v>
      </c>
    </row>
    <row r="128" spans="4:46">
      <c r="D128" s="13"/>
      <c r="R128" s="12"/>
      <c r="S128" s="12"/>
      <c r="T128" s="12"/>
      <c r="U128" s="12"/>
      <c r="V128" s="12"/>
      <c r="W128" s="12"/>
      <c r="X128" s="12"/>
      <c r="Y128" s="24">
        <v>126</v>
      </c>
      <c r="Z128" s="24">
        <f t="shared" si="28"/>
        <v>2321.2733688234066</v>
      </c>
      <c r="AA128" s="24" t="str">
        <f t="shared" si="37"/>
        <v>14584.9907249385i</v>
      </c>
      <c r="AB128" s="24">
        <f t="shared" si="29"/>
        <v>7.8571428571428568</v>
      </c>
      <c r="AD128" s="24" t="str">
        <f t="shared" si="30"/>
        <v>0.85085277546172-0.355214046527516i</v>
      </c>
      <c r="AE128" s="24" t="str">
        <f t="shared" si="31"/>
        <v>0.999968450711704-0.00607753749701694i</v>
      </c>
      <c r="AF128" s="24" t="str">
        <f t="shared" si="45"/>
        <v>5.81710584611308-2.47014792885559i</v>
      </c>
      <c r="AG128" s="24">
        <f t="shared" si="32"/>
        <v>6.3198379105252789</v>
      </c>
      <c r="AH128" s="24">
        <f t="shared" si="46"/>
        <v>-0.40156162154940983</v>
      </c>
      <c r="AI128" s="24">
        <f t="shared" si="27"/>
        <v>-23.007786129210793</v>
      </c>
      <c r="AJ128" s="24">
        <f t="shared" si="47"/>
        <v>16.014118795181975</v>
      </c>
      <c r="AL128" s="24" t="str">
        <f t="shared" si="48"/>
        <v>0.000273673794317466-0.016540825159942i</v>
      </c>
      <c r="AM128" s="24" t="str">
        <f t="shared" si="49"/>
        <v>1.0015179312014+0.326960887456293i</v>
      </c>
      <c r="AN128" s="24" t="str">
        <f t="shared" si="50"/>
        <v>-1.91021733950284+5.53889249814027i</v>
      </c>
      <c r="AO128" s="24">
        <f t="shared" si="33"/>
        <v>5.8590323766038246</v>
      </c>
      <c r="AP128" s="24">
        <f t="shared" si="34"/>
        <v>1.9028968440338998</v>
      </c>
      <c r="AQ128" s="24">
        <f t="shared" si="35"/>
        <v>109.02795801190653</v>
      </c>
      <c r="AR128" s="24">
        <f t="shared" si="36"/>
        <v>15.356517957902627</v>
      </c>
      <c r="AS128" s="24">
        <f t="shared" si="51"/>
        <v>31.370636753084604</v>
      </c>
      <c r="AT128" s="24">
        <f t="shared" si="52"/>
        <v>86.020171882695735</v>
      </c>
    </row>
    <row r="129" spans="4:46">
      <c r="D129" s="13"/>
      <c r="R129" s="12"/>
      <c r="S129" s="12"/>
      <c r="T129" s="12"/>
      <c r="U129" s="12"/>
      <c r="V129" s="12"/>
      <c r="W129" s="12"/>
      <c r="X129" s="12"/>
      <c r="Y129" s="24">
        <v>127</v>
      </c>
      <c r="Z129" s="24">
        <f t="shared" si="28"/>
        <v>2468.5299588567814</v>
      </c>
      <c r="AA129" s="24" t="str">
        <f t="shared" si="37"/>
        <v>15510.2311678216i</v>
      </c>
      <c r="AB129" s="24">
        <f t="shared" si="29"/>
        <v>7.8571428571428568</v>
      </c>
      <c r="AD129" s="24" t="str">
        <f t="shared" si="30"/>
        <v>0.834574836118709-0.37047969907614i</v>
      </c>
      <c r="AE129" s="24" t="str">
        <f t="shared" si="31"/>
        <v>0.999964321025882-0.00646306127181826i</v>
      </c>
      <c r="AF129" s="24" t="str">
        <f t="shared" si="45"/>
        <v>5.70389525528729-2.57629835491829i</v>
      </c>
      <c r="AG129" s="24">
        <f t="shared" si="32"/>
        <v>6.2587326430231496</v>
      </c>
      <c r="AH129" s="24">
        <f t="shared" si="46"/>
        <v>-0.4242447413261845</v>
      </c>
      <c r="AI129" s="24">
        <f t="shared" si="27"/>
        <v>-24.307433158609712</v>
      </c>
      <c r="AJ129" s="24">
        <f t="shared" si="47"/>
        <v>15.929728000103454</v>
      </c>
      <c r="AL129" s="24" t="str">
        <f t="shared" si="48"/>
        <v>0.000242004111347486-0.0155545988491371i</v>
      </c>
      <c r="AM129" s="24" t="str">
        <f t="shared" si="49"/>
        <v>1.0017166236425+0.347701601988048i</v>
      </c>
      <c r="AN129" s="24" t="str">
        <f t="shared" si="50"/>
        <v>-1.89962340373102+5.20968190170794i</v>
      </c>
      <c r="AO129" s="24">
        <f t="shared" si="33"/>
        <v>5.5452100585086832</v>
      </c>
      <c r="AP129" s="24">
        <f t="shared" si="34"/>
        <v>1.9204475372082754</v>
      </c>
      <c r="AQ129" s="24">
        <f t="shared" si="35"/>
        <v>110.0335386583273</v>
      </c>
      <c r="AR129" s="24">
        <f t="shared" si="36"/>
        <v>14.878360046757797</v>
      </c>
      <c r="AS129" s="24">
        <f t="shared" si="51"/>
        <v>30.808088046861251</v>
      </c>
      <c r="AT129" s="24">
        <f t="shared" si="52"/>
        <v>85.72610549971759</v>
      </c>
    </row>
    <row r="130" spans="4:46">
      <c r="D130" s="13"/>
      <c r="R130" s="12"/>
      <c r="S130" s="12"/>
      <c r="T130" s="12"/>
      <c r="U130" s="12"/>
      <c r="V130" s="12"/>
      <c r="W130" s="12"/>
      <c r="X130" s="12"/>
      <c r="Y130" s="24">
        <v>128</v>
      </c>
      <c r="Z130" s="24">
        <f t="shared" si="28"/>
        <v>2625.1281902493761</v>
      </c>
      <c r="AA130" s="24" t="str">
        <f t="shared" si="37"/>
        <v>16494.1668744378i</v>
      </c>
      <c r="AB130" s="24">
        <f t="shared" si="29"/>
        <v>7.8571428571428568</v>
      </c>
      <c r="AD130" s="24" t="str">
        <f t="shared" si="30"/>
        <v>0.816904820499723-0.385591665994269i</v>
      </c>
      <c r="AE130" s="24" t="str">
        <f t="shared" si="31"/>
        <v>0.999959650796822-0.00687303736089367i</v>
      </c>
      <c r="AF130" s="24" t="str">
        <f t="shared" si="45"/>
        <v>5.58100299509932-2.68137864679078i</v>
      </c>
      <c r="AG130" s="24">
        <f t="shared" si="32"/>
        <v>6.1917191375879721</v>
      </c>
      <c r="AH130" s="24">
        <f t="shared" si="46"/>
        <v>-0.44788357234583576</v>
      </c>
      <c r="AI130" s="24">
        <f t="shared" ref="AI130:AI193" si="53">AH130/(PI())*180</f>
        <v>-25.66183840865866</v>
      </c>
      <c r="AJ130" s="24">
        <f t="shared" si="47"/>
        <v>15.836224962016834</v>
      </c>
      <c r="AL130" s="24" t="str">
        <f t="shared" si="48"/>
        <v>0.000213998477138056-0.0146271214457882i</v>
      </c>
      <c r="AM130" s="24" t="str">
        <f t="shared" si="49"/>
        <v>1.00194132358505+0.36975786406573i</v>
      </c>
      <c r="AN130" s="24" t="str">
        <f t="shared" si="50"/>
        <v>-1.89025387638992+4.90014806103481i</v>
      </c>
      <c r="AO130" s="24">
        <f t="shared" si="33"/>
        <v>5.2520958423538247</v>
      </c>
      <c r="AP130" s="24">
        <f t="shared" si="34"/>
        <v>1.9389620525587341</v>
      </c>
      <c r="AQ130" s="24">
        <f t="shared" si="35"/>
        <v>111.09434224763876</v>
      </c>
      <c r="AR130" s="24">
        <f t="shared" si="36"/>
        <v>14.406652853396862</v>
      </c>
      <c r="AS130" s="24">
        <f t="shared" si="51"/>
        <v>30.242877815413696</v>
      </c>
      <c r="AT130" s="24">
        <f t="shared" si="52"/>
        <v>85.432503838980097</v>
      </c>
    </row>
    <row r="131" spans="4:46">
      <c r="D131" s="13"/>
      <c r="R131" s="12"/>
      <c r="S131" s="12"/>
      <c r="T131" s="12"/>
      <c r="U131" s="12"/>
      <c r="V131" s="12"/>
      <c r="W131" s="12"/>
      <c r="X131" s="12"/>
      <c r="Y131" s="24">
        <v>129</v>
      </c>
      <c r="Z131" s="24">
        <f t="shared" ref="Z131:Z194" si="54">10^(LOG($G$6/$G$5,10)*Y131/200)</f>
        <v>2791.6606766374607</v>
      </c>
      <c r="AA131" s="24" t="str">
        <f t="shared" si="37"/>
        <v>17540.5213460795i</v>
      </c>
      <c r="AB131" s="24">
        <f t="shared" ref="AB131:AB194" si="55">$B$23/$G$3</f>
        <v>7.8571428571428568</v>
      </c>
      <c r="AD131" s="24" t="str">
        <f t="shared" ref="AD131:AD194" si="56">IMDIV(IMSUM(1,IMDIV(AA131,$G$12)),IMSUM(1,IMDIV(AA131,$G$14)))</f>
        <v>0.797807318460698-0.400409199464493i</v>
      </c>
      <c r="AE131" s="24" t="str">
        <f t="shared" ref="AE131:AE194" si="57">IMDIV(1,IMSUM(1,IMDIV(AA131,IMPRODUCT($G$10*$G$11)),IMDIV(IMPRODUCT(AA131,AA131),$G$10*$G$10)))</f>
        <v>0.999954369276555-0.00730901605772166i</v>
      </c>
      <c r="AF131" s="24" t="str">
        <f t="shared" si="45"/>
        <v>5.44818279644521-2.7844098424006i</v>
      </c>
      <c r="AG131" s="24">
        <f t="shared" ref="AG131:AG194" si="58">IMABS(AF131)</f>
        <v>6.1184666342098231</v>
      </c>
      <c r="AH131" s="24">
        <f t="shared" si="46"/>
        <v>-0.47246536661182537</v>
      </c>
      <c r="AI131" s="24">
        <f t="shared" si="53"/>
        <v>-27.070271472958751</v>
      </c>
      <c r="AJ131" s="24">
        <f t="shared" si="47"/>
        <v>15.732851920885054</v>
      </c>
      <c r="AL131" s="24" t="str">
        <f t="shared" si="48"/>
        <v>0.000189233147767578-0.0137549023472856i</v>
      </c>
      <c r="AM131" s="24" t="str">
        <f t="shared" si="49"/>
        <v>1.00219543503575+0.393213088918475i</v>
      </c>
      <c r="AN131" s="24" t="str">
        <f t="shared" si="50"/>
        <v>-1.88196699017559+4.6091260421658i</v>
      </c>
      <c r="AO131" s="24">
        <f t="shared" ref="AO131:AO194" si="59">IMABS(AN131)</f>
        <v>4.9785382015890507</v>
      </c>
      <c r="AP131" s="24">
        <f t="shared" ref="AP131:AP194" si="60">IMARGUMENT(AN131)</f>
        <v>1.9584486464575261</v>
      </c>
      <c r="AQ131" s="24">
        <f t="shared" ref="AQ131:AQ194" si="61">AP131/(PI())*180</f>
        <v>112.21084183512492</v>
      </c>
      <c r="AR131" s="24">
        <f t="shared" ref="AR131:AR194" si="62">20*LOG(AO131,10)</f>
        <v>13.942036878580357</v>
      </c>
      <c r="AS131" s="24">
        <f t="shared" si="51"/>
        <v>29.67488879946541</v>
      </c>
      <c r="AT131" s="24">
        <f t="shared" si="52"/>
        <v>85.140570362166173</v>
      </c>
    </row>
    <row r="132" spans="4:46">
      <c r="D132" s="13"/>
      <c r="R132" s="12"/>
      <c r="S132" s="12"/>
      <c r="T132" s="12"/>
      <c r="U132" s="12"/>
      <c r="V132" s="12"/>
      <c r="W132" s="12"/>
      <c r="X132" s="12"/>
      <c r="Y132" s="24">
        <v>130</v>
      </c>
      <c r="Z132" s="24">
        <f t="shared" si="54"/>
        <v>2968.757625791824</v>
      </c>
      <c r="AA132" s="24" t="str">
        <f t="shared" ref="AA132:AA195" si="63">IMPRODUCT(COMPLEX(0,1),2*PI()*Z132)</f>
        <v>18653.2542949525i</v>
      </c>
      <c r="AB132" s="24">
        <f t="shared" si="55"/>
        <v>7.8571428571428568</v>
      </c>
      <c r="AD132" s="24" t="str">
        <f t="shared" si="56"/>
        <v>0.777264247756498-0.414778688924028i</v>
      </c>
      <c r="AE132" s="24" t="str">
        <f t="shared" si="57"/>
        <v>0.999948396458755-0.00777264581893825i</v>
      </c>
      <c r="AF132" s="24" t="str">
        <f t="shared" si="45"/>
        <v>5.30530890379719-2.88432351596969i</v>
      </c>
      <c r="AG132" s="24">
        <f t="shared" si="58"/>
        <v>6.0386773973681933</v>
      </c>
      <c r="AH132" s="24">
        <f t="shared" ref="AH132:AH163" si="64">IMARGUMENT(AF132)</f>
        <v>-0.49796833547611946</v>
      </c>
      <c r="AI132" s="24">
        <f t="shared" si="53"/>
        <v>-28.531483953936352</v>
      </c>
      <c r="AJ132" s="24">
        <f t="shared" ref="AJ132:AJ163" si="65">20*LOG(AG132,10)</f>
        <v>15.618836580624169</v>
      </c>
      <c r="AL132" s="24" t="str">
        <f t="shared" ref="AL132:AL163" si="66">IMDIV(1,IMSUM(1,IMDIV(AA132,wp2e)))</f>
        <v>0.000167333347609812-0.0129346568242296i</v>
      </c>
      <c r="AM132" s="24" t="str">
        <f t="shared" ref="AM132:AM163" si="67">IMDIV(IMSUM(1,IMDIV(AA132,wz2e)),IMSUM(1,IMDIV(AA132,wp1e)))</f>
        <v>1.00248280748087+0.418155975297106i</v>
      </c>
      <c r="AN132" s="24" t="str">
        <f t="shared" ref="AN132:AN163" si="68">IMPRODUCT($AK$2,AL132,AM132)</f>
        <v>-1.87463733890096+4.33551988159607i</v>
      </c>
      <c r="AO132" s="24">
        <f t="shared" si="59"/>
        <v>4.723451894125362</v>
      </c>
      <c r="AP132" s="24">
        <f t="shared" si="60"/>
        <v>1.9789100509919948</v>
      </c>
      <c r="AQ132" s="24">
        <f t="shared" si="61"/>
        <v>113.38319395785982</v>
      </c>
      <c r="AR132" s="24">
        <f t="shared" si="62"/>
        <v>13.485189933074777</v>
      </c>
      <c r="AS132" s="24">
        <f t="shared" ref="AS132:AS163" si="69">AR132+AJ132</f>
        <v>29.104026513698948</v>
      </c>
      <c r="AT132" s="24">
        <f t="shared" ref="AT132:AT163" si="70">AQ132+AI132</f>
        <v>84.851710003923472</v>
      </c>
    </row>
    <row r="133" spans="4:46">
      <c r="D133" s="13"/>
      <c r="R133" s="12"/>
      <c r="S133" s="12"/>
      <c r="T133" s="12"/>
      <c r="U133" s="12"/>
      <c r="V133" s="12"/>
      <c r="W133" s="12"/>
      <c r="X133" s="12"/>
      <c r="Y133" s="24">
        <v>131</v>
      </c>
      <c r="Z133" s="24">
        <f t="shared" si="54"/>
        <v>3157.0892245088098</v>
      </c>
      <c r="AA133" s="24" t="str">
        <f t="shared" si="63"/>
        <v>19836.5766288887i</v>
      </c>
      <c r="AB133" s="24">
        <f t="shared" si="55"/>
        <v>7.8571428571428568</v>
      </c>
      <c r="AD133" s="24" t="str">
        <f t="shared" si="56"/>
        <v>0.75527813362021-0.428535854615247i</v>
      </c>
      <c r="AE133" s="24" t="str">
        <f t="shared" si="57"/>
        <v>0.999941641867532-0.00826567945429361i</v>
      </c>
      <c r="AF133" s="24" t="str">
        <f t="shared" si="45"/>
        <v>5.15239888427978-2.97997703352982i</v>
      </c>
      <c r="AG133" s="24">
        <f t="shared" si="58"/>
        <v>5.9520985696721036</v>
      </c>
      <c r="AH133" s="24">
        <f t="shared" si="64"/>
        <v>-0.52436092225585129</v>
      </c>
      <c r="AI133" s="24">
        <f t="shared" si="53"/>
        <v>-30.04366778684776</v>
      </c>
      <c r="AJ133" s="24">
        <f t="shared" si="65"/>
        <v>15.493402294540761</v>
      </c>
      <c r="AL133" s="24" t="str">
        <f t="shared" si="66"/>
        <v>0.000147967618642644-0.0121632941354913i</v>
      </c>
      <c r="AM133" s="24" t="str">
        <f t="shared" si="67"/>
        <v>1.00280779417028+0.444680838995943i</v>
      </c>
      <c r="AN133" s="24" t="str">
        <f t="shared" si="68"/>
        <v>-1.86815398667389+4.07829862113733i</v>
      </c>
      <c r="AO133" s="24">
        <f t="shared" si="59"/>
        <v>4.4858130769233124</v>
      </c>
      <c r="AP133" s="24">
        <f t="shared" si="60"/>
        <v>2.0003425339664251</v>
      </c>
      <c r="AQ133" s="24">
        <f t="shared" si="61"/>
        <v>114.61118477678068</v>
      </c>
      <c r="AR133" s="24">
        <f t="shared" si="62"/>
        <v>13.036823452918945</v>
      </c>
      <c r="AS133" s="24">
        <f t="shared" si="69"/>
        <v>28.530225747459706</v>
      </c>
      <c r="AT133" s="24">
        <f t="shared" si="70"/>
        <v>84.567516989932912</v>
      </c>
    </row>
    <row r="134" spans="4:46">
      <c r="D134" s="13"/>
      <c r="R134" s="12"/>
      <c r="S134" s="12"/>
      <c r="T134" s="12"/>
      <c r="U134" s="12"/>
      <c r="V134" s="12"/>
      <c r="W134" s="12"/>
      <c r="X134" s="12"/>
      <c r="Y134" s="24">
        <v>132</v>
      </c>
      <c r="Z134" s="24">
        <f t="shared" si="54"/>
        <v>3357.3681747937244</v>
      </c>
      <c r="AA134" s="24" t="str">
        <f t="shared" si="63"/>
        <v>21094.9663866563i</v>
      </c>
      <c r="AB134" s="24">
        <f t="shared" si="55"/>
        <v>7.8571428571428568</v>
      </c>
      <c r="AD134" s="24" t="str">
        <f t="shared" si="56"/>
        <v>0.731875140775321-0.441508791818724i</v>
      </c>
      <c r="AE134" s="24" t="str">
        <f t="shared" si="57"/>
        <v>0.999934003187883-0.00878998070173012i</v>
      </c>
      <c r="AF134" s="24" t="str">
        <f t="shared" si="45"/>
        <v>4.98963471495895-3.07017472479615i</v>
      </c>
      <c r="AG134" s="24">
        <f t="shared" si="58"/>
        <v>5.858534580379346</v>
      </c>
      <c r="AH134" s="24">
        <f t="shared" si="64"/>
        <v>-0.5516012368345532</v>
      </c>
      <c r="AI134" s="24">
        <f t="shared" si="53"/>
        <v>-31.60442284481606</v>
      </c>
      <c r="AJ134" s="24">
        <f t="shared" si="65"/>
        <v>15.355779954341555</v>
      </c>
      <c r="AL134" s="24" t="str">
        <f t="shared" si="66"/>
        <v>0.000130842820042315-0.0114379062856258i</v>
      </c>
      <c r="AM134" s="24" t="str">
        <f t="shared" si="67"/>
        <v>1.00317531802262+0.472887967197598i</v>
      </c>
      <c r="AN134" s="24" t="str">
        <f t="shared" si="68"/>
        <v>-1.86241879430229+3.83649255809305i</v>
      </c>
      <c r="AO134" s="24">
        <f t="shared" si="59"/>
        <v>4.2646546066092794</v>
      </c>
      <c r="AP134" s="24">
        <f t="shared" si="60"/>
        <v>2.022734954419696</v>
      </c>
      <c r="AQ134" s="24">
        <f t="shared" si="61"/>
        <v>115.89417596183551</v>
      </c>
      <c r="AR134" s="24">
        <f t="shared" si="62"/>
        <v>12.597677270362308</v>
      </c>
      <c r="AS134" s="24">
        <f t="shared" si="69"/>
        <v>27.953457224703861</v>
      </c>
      <c r="AT134" s="24">
        <f t="shared" si="70"/>
        <v>84.289753117019458</v>
      </c>
    </row>
    <row r="135" spans="4:46">
      <c r="D135" s="13"/>
      <c r="R135" s="12"/>
      <c r="S135" s="12"/>
      <c r="T135" s="12"/>
      <c r="U135" s="12"/>
      <c r="V135" s="12"/>
      <c r="W135" s="12"/>
      <c r="X135" s="12"/>
      <c r="Y135" s="24">
        <v>133</v>
      </c>
      <c r="Z135" s="24">
        <f t="shared" si="54"/>
        <v>3570.3523909342362</v>
      </c>
      <c r="AA135" s="24" t="str">
        <f t="shared" si="63"/>
        <v>22433.1856841715i</v>
      </c>
      <c r="AB135" s="24">
        <f t="shared" si="55"/>
        <v>7.8571428571428568</v>
      </c>
      <c r="AD135" s="24" t="str">
        <f t="shared" si="56"/>
        <v>0.707107624112649-0.453521863211377i</v>
      </c>
      <c r="AE135" s="24" t="str">
        <f t="shared" si="57"/>
        <v>0.999925364717119-0.00934753121048307i</v>
      </c>
      <c r="AF135" s="24" t="str">
        <f t="shared" si="45"/>
        <v>4.81738052252081-3.15369495361118i</v>
      </c>
      <c r="AG135" s="24">
        <f t="shared" si="58"/>
        <v>5.7578595814065752</v>
      </c>
      <c r="AH135" s="24">
        <f t="shared" si="64"/>
        <v>-0.57963670508614773</v>
      </c>
      <c r="AI135" s="24">
        <f t="shared" si="53"/>
        <v>-33.210736852305445</v>
      </c>
      <c r="AJ135" s="24">
        <f t="shared" si="65"/>
        <v>15.205221388111564</v>
      </c>
      <c r="AL135" s="24" t="str">
        <f t="shared" si="66"/>
        <v>0.000115699703615577-0.0107557573975132i</v>
      </c>
      <c r="AM135" s="24" t="str">
        <f t="shared" si="67"/>
        <v>1.00359094614706+0.502883994893842i</v>
      </c>
      <c r="AN135" s="24" t="str">
        <f t="shared" si="68"/>
        <v>-1.85734493800886+3.60918970170624i</v>
      </c>
      <c r="AO135" s="24">
        <f t="shared" si="59"/>
        <v>4.0590615321339385</v>
      </c>
      <c r="AP135" s="24">
        <f t="shared" si="60"/>
        <v>2.0460678479746375</v>
      </c>
      <c r="AQ135" s="24">
        <f t="shared" si="61"/>
        <v>117.23105228636167</v>
      </c>
      <c r="AR135" s="24">
        <f t="shared" si="62"/>
        <v>12.168512698499823</v>
      </c>
      <c r="AS135" s="24">
        <f t="shared" si="69"/>
        <v>27.373734086611385</v>
      </c>
      <c r="AT135" s="24">
        <f t="shared" si="70"/>
        <v>84.020315434056229</v>
      </c>
    </row>
    <row r="136" spans="4:46">
      <c r="D136" s="13"/>
      <c r="R136" s="12"/>
      <c r="S136" s="12"/>
      <c r="T136" s="12"/>
      <c r="U136" s="12"/>
      <c r="V136" s="12"/>
      <c r="W136" s="12"/>
      <c r="X136" s="12"/>
      <c r="Y136" s="24">
        <v>134</v>
      </c>
      <c r="Z136" s="24">
        <f t="shared" si="54"/>
        <v>3796.8478676703417</v>
      </c>
      <c r="AA136" s="24" t="str">
        <f t="shared" si="63"/>
        <v>23856.2987357424i</v>
      </c>
      <c r="AB136" s="24">
        <f t="shared" si="55"/>
        <v>7.8571428571428568</v>
      </c>
      <c r="AD136" s="24" t="str">
        <f t="shared" si="56"/>
        <v>0.681055948474145-0.46440036733048i</v>
      </c>
      <c r="AE136" s="24" t="str">
        <f t="shared" si="57"/>
        <v>0.999915595613897-0.00994043795624864i</v>
      </c>
      <c r="AF136" s="24" t="str">
        <f t="shared" si="45"/>
        <v>4.63619523970049-3.22932258607397i</v>
      </c>
      <c r="AG136" s="24">
        <f t="shared" si="58"/>
        <v>5.6500292623621835</v>
      </c>
      <c r="AH136" s="24">
        <f t="shared" si="64"/>
        <v>-0.60840398372333881</v>
      </c>
      <c r="AI136" s="24">
        <f t="shared" si="53"/>
        <v>-34.858980506293349</v>
      </c>
      <c r="AJ136" s="24">
        <f t="shared" si="65"/>
        <v>15.041013942050764</v>
      </c>
      <c r="AL136" s="24" t="str">
        <f t="shared" si="66"/>
        <v>0.000102308999060475-0.010114273672844i</v>
      </c>
      <c r="AM136" s="24" t="str">
        <f t="shared" si="67"/>
        <v>1.00406097410655+0.534782304701524i</v>
      </c>
      <c r="AN136" s="24" t="str">
        <f t="shared" si="68"/>
        <v>-1.85285559835641+3.39553242675792i</v>
      </c>
      <c r="AO136" s="24">
        <f t="shared" si="59"/>
        <v>3.8681667918440659</v>
      </c>
      <c r="AP136" s="24">
        <f t="shared" si="60"/>
        <v>2.0703125834866092</v>
      </c>
      <c r="AQ136" s="24">
        <f t="shared" si="61"/>
        <v>118.62017330660859</v>
      </c>
      <c r="AR136" s="24">
        <f t="shared" si="62"/>
        <v>11.750103843978213</v>
      </c>
      <c r="AS136" s="24">
        <f t="shared" si="69"/>
        <v>26.791117786028977</v>
      </c>
      <c r="AT136" s="24">
        <f t="shared" si="70"/>
        <v>83.761192800315243</v>
      </c>
    </row>
    <row r="137" spans="4:46">
      <c r="D137" s="13"/>
      <c r="R137" s="12"/>
      <c r="S137" s="12"/>
      <c r="T137" s="12"/>
      <c r="U137" s="12"/>
      <c r="V137" s="12"/>
      <c r="W137" s="12"/>
      <c r="X137" s="12"/>
      <c r="Y137" s="24">
        <v>135</v>
      </c>
      <c r="Z137" s="24">
        <f t="shared" si="54"/>
        <v>4037.7117303148448</v>
      </c>
      <c r="AA137" s="24" t="str">
        <f t="shared" si="63"/>
        <v>25369.6910185409i</v>
      </c>
      <c r="AB137" s="24">
        <f t="shared" si="55"/>
        <v>7.8571428571428568</v>
      </c>
      <c r="AD137" s="24" t="str">
        <f t="shared" si="56"/>
        <v>0.653829334661245-0.473975831601108i</v>
      </c>
      <c r="AE137" s="24" t="str">
        <f t="shared" si="57"/>
        <v>0.999904547918494-0.0105709411136164i</v>
      </c>
      <c r="AF137" s="24" t="str">
        <f t="shared" si="45"/>
        <v>4.44683848925024-3.29588580239726i</v>
      </c>
      <c r="AG137" s="24">
        <f t="shared" si="58"/>
        <v>5.535091306556847</v>
      </c>
      <c r="AH137" s="24">
        <f t="shared" si="64"/>
        <v>-0.63782918429834989</v>
      </c>
      <c r="AI137" s="24">
        <f t="shared" si="53"/>
        <v>-36.544920310567406</v>
      </c>
      <c r="AJ137" s="24">
        <f t="shared" si="65"/>
        <v>14.862495787426662</v>
      </c>
      <c r="AL137" s="24" t="str">
        <f t="shared" si="66"/>
        <v>0.000090467950546884-0.0095110339131352i</v>
      </c>
      <c r="AM137" s="24" t="str">
        <f t="shared" si="67"/>
        <v>1.00459252119406+0.568703451459525i</v>
      </c>
      <c r="AN137" s="24" t="str">
        <f t="shared" si="68"/>
        <v>-1.84888279978801+3.19471431521983i</v>
      </c>
      <c r="AO137" s="24">
        <f t="shared" si="59"/>
        <v>3.6911471337813748</v>
      </c>
      <c r="AP137" s="24">
        <f t="shared" si="60"/>
        <v>2.0954306385479997</v>
      </c>
      <c r="AQ137" s="24">
        <f t="shared" si="61"/>
        <v>120.0593318512035</v>
      </c>
      <c r="AR137" s="24">
        <f t="shared" si="62"/>
        <v>11.343227141332706</v>
      </c>
      <c r="AS137" s="24">
        <f t="shared" si="69"/>
        <v>26.205722928759368</v>
      </c>
      <c r="AT137" s="24">
        <f t="shared" si="70"/>
        <v>83.51441154063609</v>
      </c>
    </row>
    <row r="138" spans="4:46">
      <c r="D138" s="13"/>
      <c r="R138" s="12"/>
      <c r="S138" s="12"/>
      <c r="T138" s="12"/>
      <c r="U138" s="12"/>
      <c r="V138" s="12"/>
      <c r="W138" s="12"/>
      <c r="X138" s="12"/>
      <c r="Y138" s="24">
        <v>136</v>
      </c>
      <c r="Z138" s="24">
        <f t="shared" si="54"/>
        <v>4293.8554783669315</v>
      </c>
      <c r="AA138" s="24" t="str">
        <f t="shared" si="63"/>
        <v>26979.0896528277i</v>
      </c>
      <c r="AB138" s="24">
        <f t="shared" si="55"/>
        <v>7.8571428571428568</v>
      </c>
      <c r="AD138" s="24" t="str">
        <f t="shared" si="56"/>
        <v>0.625565523145635-0.482091696757045i</v>
      </c>
      <c r="AE138" s="24" t="str">
        <f t="shared" si="57"/>
        <v>0.999892054314435-0.0112414224121148i</v>
      </c>
      <c r="AF138" s="24" t="str">
        <f t="shared" si="45"/>
        <v>4.25026824520556-3.35229563082597i</v>
      </c>
      <c r="AG138" s="24">
        <f t="shared" si="58"/>
        <v>5.4131937109859312</v>
      </c>
      <c r="AH138" s="24">
        <f t="shared" si="64"/>
        <v>-0.66782843818150661</v>
      </c>
      <c r="AI138" s="24">
        <f t="shared" si="53"/>
        <v>-38.263750946613733</v>
      </c>
      <c r="AJ138" s="24">
        <f t="shared" si="65"/>
        <v>14.669071371701158</v>
      </c>
      <c r="AL138" s="24" t="str">
        <f t="shared" si="66"/>
        <v>0.0000799972527706856-0.00894376057429059i</v>
      </c>
      <c r="AM138" s="24" t="str">
        <f t="shared" si="67"/>
        <v>1.00519363815865+0.604775613060937i</v>
      </c>
      <c r="AN138" s="24" t="str">
        <f t="shared" si="68"/>
        <v>-1.84536638341032+3.00597717697606i</v>
      </c>
      <c r="AO138" s="24">
        <f t="shared" si="59"/>
        <v>3.5272192840142282</v>
      </c>
      <c r="AP138" s="24">
        <f t="shared" si="60"/>
        <v>2.1213730454869051</v>
      </c>
      <c r="AQ138" s="24">
        <f t="shared" si="61"/>
        <v>121.54572227921366</v>
      </c>
      <c r="AR138" s="24">
        <f t="shared" si="62"/>
        <v>10.948649203993327</v>
      </c>
      <c r="AS138" s="24">
        <f t="shared" si="69"/>
        <v>25.617720575694484</v>
      </c>
      <c r="AT138" s="24">
        <f t="shared" si="70"/>
        <v>83.281971332599937</v>
      </c>
    </row>
    <row r="139" spans="4:46">
      <c r="D139" s="13"/>
      <c r="R139" s="12"/>
      <c r="S139" s="12"/>
      <c r="T139" s="12"/>
      <c r="U139" s="12"/>
      <c r="V139" s="12"/>
      <c r="W139" s="12"/>
      <c r="X139" s="12"/>
      <c r="Y139" s="24">
        <v>137</v>
      </c>
      <c r="Z139" s="24">
        <f t="shared" si="54"/>
        <v>4566.248434893605</v>
      </c>
      <c r="AA139" s="24" t="str">
        <f t="shared" si="63"/>
        <v>28690.5850750553i</v>
      </c>
      <c r="AB139" s="24">
        <f t="shared" si="55"/>
        <v>7.8571428571428568</v>
      </c>
      <c r="AD139" s="24" t="str">
        <f t="shared" si="56"/>
        <v>0.596429111117234-0.488609086336656i</v>
      </c>
      <c r="AE139" s="24" t="str">
        <f t="shared" si="57"/>
        <v>0.999877925597823-0.0119544140033519i</v>
      </c>
      <c r="AF139" s="24" t="str">
        <f t="shared" si="45"/>
        <v>4.04762926741149-3.3975860732137i</v>
      </c>
      <c r="AG139" s="24">
        <f t="shared" si="58"/>
        <v>5.2845902217013725</v>
      </c>
      <c r="AH139" s="24">
        <f t="shared" si="64"/>
        <v>-0.69830881759822172</v>
      </c>
      <c r="AI139" s="24">
        <f t="shared" si="53"/>
        <v>-40.010148045148931</v>
      </c>
      <c r="AJ139" s="24">
        <f t="shared" si="65"/>
        <v>14.46022633673422</v>
      </c>
      <c r="AL139" s="24" t="str">
        <f t="shared" si="66"/>
        <v>0.0000707383405508302-0.00841031132824501i</v>
      </c>
      <c r="AM139" s="24" t="str">
        <f t="shared" si="67"/>
        <v>1.00587342900489+0.643135069043012i</v>
      </c>
      <c r="AN139" s="24" t="str">
        <f t="shared" si="68"/>
        <v>-1.84225309762106+2.82860824080553i</v>
      </c>
      <c r="AO139" s="24">
        <f t="shared" si="59"/>
        <v>3.3756363926891391</v>
      </c>
      <c r="AP139" s="24">
        <f t="shared" si="60"/>
        <v>2.148080060548748</v>
      </c>
      <c r="AQ139" s="24">
        <f t="shared" si="61"/>
        <v>123.07592152564958</v>
      </c>
      <c r="AR139" s="24">
        <f t="shared" si="62"/>
        <v>10.567113207217037</v>
      </c>
      <c r="AS139" s="24">
        <f t="shared" si="69"/>
        <v>25.027339543951257</v>
      </c>
      <c r="AT139" s="24">
        <f t="shared" si="70"/>
        <v>83.065773480500638</v>
      </c>
    </row>
    <row r="140" spans="4:46">
      <c r="D140" s="13"/>
      <c r="R140" s="12"/>
      <c r="S140" s="12"/>
      <c r="T140" s="12"/>
      <c r="U140" s="12"/>
      <c r="V140" s="12"/>
      <c r="W140" s="12"/>
      <c r="X140" s="12"/>
      <c r="Y140" s="24">
        <v>138</v>
      </c>
      <c r="Z140" s="24">
        <f t="shared" si="54"/>
        <v>4855.9214147324665</v>
      </c>
      <c r="AA140" s="24" t="str">
        <f t="shared" si="63"/>
        <v>30510.6540858657i</v>
      </c>
      <c r="AB140" s="24">
        <f t="shared" si="55"/>
        <v>7.8571428571428568</v>
      </c>
      <c r="AD140" s="24" t="str">
        <f t="shared" si="56"/>
        <v>0.566608510116736-0.493412302126693i</v>
      </c>
      <c r="AE140" s="24" t="str">
        <f t="shared" si="57"/>
        <v>0.999861947816264-0.0127126078678297i</v>
      </c>
      <c r="AF140" s="24" t="str">
        <f t="shared" ref="AF140:AF202" si="71">IMPRODUCT(AB140,AC$2,AD140,AE140)</f>
        <v>3.8402319424234-3.43095232457718i</v>
      </c>
      <c r="AG140" s="24">
        <f t="shared" si="58"/>
        <v>5.1496422424407848</v>
      </c>
      <c r="AH140" s="24">
        <f t="shared" si="64"/>
        <v>-0.72916960710608303</v>
      </c>
      <c r="AI140" s="24">
        <f t="shared" si="53"/>
        <v>-41.778341036390998</v>
      </c>
      <c r="AJ140" s="24">
        <f t="shared" si="65"/>
        <v>14.235541172937481</v>
      </c>
      <c r="AL140" s="24" t="str">
        <f t="shared" si="66"/>
        <v>0.0000625509912879481-0.00790867110590882i</v>
      </c>
      <c r="AM140" s="24" t="str">
        <f t="shared" si="67"/>
        <v>1.00664218870007+0.68392670852533i</v>
      </c>
      <c r="AN140" s="24" t="str">
        <f t="shared" si="68"/>
        <v>-1.83949579293139+2.66193750704589i</v>
      </c>
      <c r="AO140" s="24">
        <f t="shared" si="59"/>
        <v>3.2356847905242518</v>
      </c>
      <c r="AP140" s="24">
        <f t="shared" si="60"/>
        <v>2.1754811060024593</v>
      </c>
      <c r="AQ140" s="24">
        <f t="shared" si="61"/>
        <v>124.64588578439339</v>
      </c>
      <c r="AR140" s="24">
        <f t="shared" si="62"/>
        <v>10.199324150006133</v>
      </c>
      <c r="AS140" s="24">
        <f t="shared" si="69"/>
        <v>24.434865322943615</v>
      </c>
      <c r="AT140" s="24">
        <f t="shared" si="70"/>
        <v>82.867544748002388</v>
      </c>
    </row>
    <row r="141" spans="4:46">
      <c r="D141" s="13"/>
      <c r="R141" s="12"/>
      <c r="S141" s="12"/>
      <c r="T141" s="12"/>
      <c r="U141" s="12"/>
      <c r="V141" s="12"/>
      <c r="W141" s="12"/>
      <c r="X141" s="12"/>
      <c r="Y141" s="24">
        <v>139</v>
      </c>
      <c r="Z141" s="24">
        <f t="shared" si="54"/>
        <v>5163.9706253973836</v>
      </c>
      <c r="AA141" s="24" t="str">
        <f t="shared" si="63"/>
        <v>32446.1843602037i</v>
      </c>
      <c r="AB141" s="24">
        <f t="shared" si="55"/>
        <v>7.8571428571428568</v>
      </c>
      <c r="AD141" s="24" t="str">
        <f t="shared" si="56"/>
        <v>0.536311583084193-0.496413665034185i</v>
      </c>
      <c r="AE141" s="24" t="str">
        <f t="shared" si="57"/>
        <v>0.999843879034389-0.0135188657910488i</v>
      </c>
      <c r="AF141" s="24" t="str">
        <f t="shared" si="71"/>
        <v>3.62952193994925-3.45178444016461i</v>
      </c>
      <c r="AG141" s="24">
        <f t="shared" si="58"/>
        <v>5.0088167598680906</v>
      </c>
      <c r="AH141" s="24">
        <f t="shared" si="64"/>
        <v>-0.76030389685080535</v>
      </c>
      <c r="AI141" s="24">
        <f t="shared" si="53"/>
        <v>-43.562204436901027</v>
      </c>
      <c r="AJ141" s="24">
        <f t="shared" si="65"/>
        <v>13.994702879213342</v>
      </c>
      <c r="AL141" s="24" t="str">
        <f t="shared" si="66"/>
        <v>0.0000553112042594844-0.00743694459641645i</v>
      </c>
      <c r="AM141" s="24" t="str">
        <f t="shared" si="67"/>
        <v>1.00751155886165+0.727304569153061i</v>
      </c>
      <c r="AN141" s="24" t="str">
        <f t="shared" si="68"/>
        <v>-1.83705270888464+2.50533525362416i</v>
      </c>
      <c r="AO141" s="24">
        <f t="shared" si="59"/>
        <v>3.1066810889231014</v>
      </c>
      <c r="AP141" s="24">
        <f t="shared" si="60"/>
        <v>2.2034950272325284</v>
      </c>
      <c r="AQ141" s="24">
        <f t="shared" si="61"/>
        <v>126.25096523848826</v>
      </c>
      <c r="AR141" s="24">
        <f t="shared" si="62"/>
        <v>9.8459334755952668</v>
      </c>
      <c r="AS141" s="24">
        <f t="shared" si="69"/>
        <v>23.840636354808609</v>
      </c>
      <c r="AT141" s="24">
        <f t="shared" si="70"/>
        <v>82.688760801587236</v>
      </c>
    </row>
    <row r="142" spans="4:46">
      <c r="D142" s="13"/>
      <c r="R142" s="12"/>
      <c r="S142" s="12"/>
      <c r="T142" s="12"/>
      <c r="U142" s="12"/>
      <c r="V142" s="12"/>
      <c r="W142" s="12"/>
      <c r="X142" s="12"/>
      <c r="Y142" s="24">
        <v>140</v>
      </c>
      <c r="Z142" s="24">
        <f t="shared" si="54"/>
        <v>5491.5618154492358</v>
      </c>
      <c r="AA142" s="24" t="str">
        <f t="shared" si="63"/>
        <v>34504.5005122991i</v>
      </c>
      <c r="AB142" s="24">
        <f t="shared" si="55"/>
        <v>7.8571428571428568</v>
      </c>
      <c r="AD142" s="24" t="str">
        <f t="shared" si="56"/>
        <v>0.505760138943018-0.497557338762404i</v>
      </c>
      <c r="AE142" s="24" t="str">
        <f t="shared" si="57"/>
        <v>0.999823445677406-0.0143762299394595i</v>
      </c>
      <c r="AF142" s="24" t="str">
        <f t="shared" si="71"/>
        <v>3.41704192363113-3.45969392803713i</v>
      </c>
      <c r="AG142" s="24">
        <f t="shared" si="58"/>
        <v>4.8626800823773833</v>
      </c>
      <c r="AH142" s="24">
        <f t="shared" si="64"/>
        <v>-0.79160044576044719</v>
      </c>
      <c r="AI142" s="24">
        <f t="shared" si="53"/>
        <v>-45.35536460274826</v>
      </c>
      <c r="AJ142" s="24">
        <f t="shared" si="65"/>
        <v>13.737513962087489</v>
      </c>
      <c r="AL142" s="24" t="str">
        <f t="shared" si="66"/>
        <v>0.0000489093248551743-0.00699334917854932i</v>
      </c>
      <c r="AM142" s="24" t="str">
        <f t="shared" si="67"/>
        <v>1.00849470376562+0.773432408765898i</v>
      </c>
      <c r="AN142" s="24" t="str">
        <f t="shared" si="68"/>
        <v>-1.83488684234647+2.35820968743032i</v>
      </c>
      <c r="AO142" s="24">
        <f t="shared" si="59"/>
        <v>2.9879696541475127</v>
      </c>
      <c r="AP142" s="24">
        <f t="shared" si="60"/>
        <v>2.2320306941558226</v>
      </c>
      <c r="AQ142" s="24">
        <f t="shared" si="61"/>
        <v>127.8859385187841</v>
      </c>
      <c r="AR142" s="24">
        <f t="shared" si="62"/>
        <v>9.507523649325007</v>
      </c>
      <c r="AS142" s="24">
        <f t="shared" si="69"/>
        <v>23.245037611412496</v>
      </c>
      <c r="AT142" s="24">
        <f t="shared" si="70"/>
        <v>82.530573916035848</v>
      </c>
    </row>
    <row r="143" spans="4:46">
      <c r="D143" s="13"/>
      <c r="R143" s="12"/>
      <c r="S143" s="12"/>
      <c r="T143" s="12"/>
      <c r="U143" s="12"/>
      <c r="V143" s="12"/>
      <c r="W143" s="12"/>
      <c r="X143" s="12"/>
      <c r="Y143" s="24">
        <v>141</v>
      </c>
      <c r="Z143" s="24">
        <f t="shared" si="54"/>
        <v>5839.9346860303567</v>
      </c>
      <c r="AA143" s="24" t="str">
        <f t="shared" si="63"/>
        <v>36693.3918141544i</v>
      </c>
      <c r="AB143" s="24">
        <f t="shared" si="55"/>
        <v>7.8571428571428568</v>
      </c>
      <c r="AD143" s="24" t="str">
        <f t="shared" si="56"/>
        <v>0.475183574359539-0.496821833328138i</v>
      </c>
      <c r="AE143" s="24" t="str">
        <f t="shared" si="57"/>
        <v>0.999800338397846-0.01528793406764i</v>
      </c>
      <c r="AF143" s="24" t="str">
        <f t="shared" si="71"/>
        <v>3.20438733057545-3.45453116009783i</v>
      </c>
      <c r="AG143" s="24">
        <f t="shared" si="58"/>
        <v>4.7118874880921471</v>
      </c>
      <c r="AH143" s="24">
        <f t="shared" si="64"/>
        <v>-0.82294574205845683</v>
      </c>
      <c r="AI143" s="24">
        <f t="shared" si="53"/>
        <v>-47.151317788211259</v>
      </c>
      <c r="AJ143" s="24">
        <f t="shared" si="65"/>
        <v>13.463898233695883</v>
      </c>
      <c r="AL143" s="24" t="str">
        <f t="shared" si="66"/>
        <v>0.0000432483855165079-0.00657620826112268i</v>
      </c>
      <c r="AM143" s="24" t="str">
        <f t="shared" si="67"/>
        <v>1.00960650931974+0.822484311572586i</v>
      </c>
      <c r="AN143" s="24" t="str">
        <f t="shared" si="68"/>
        <v>-1.83296538765726+2.22000473332i</v>
      </c>
      <c r="AO143" s="24">
        <f t="shared" si="59"/>
        <v>2.8789204796785781</v>
      </c>
      <c r="AP143" s="24">
        <f t="shared" si="60"/>
        <v>2.2609879588314934</v>
      </c>
      <c r="AQ143" s="24">
        <f t="shared" si="61"/>
        <v>129.5450675709433</v>
      </c>
      <c r="AR143" s="24">
        <f t="shared" si="62"/>
        <v>9.1845933829124746</v>
      </c>
      <c r="AS143" s="24">
        <f t="shared" si="69"/>
        <v>22.648491616608357</v>
      </c>
      <c r="AT143" s="24">
        <f t="shared" si="70"/>
        <v>82.393749782732044</v>
      </c>
    </row>
    <row r="144" spans="4:46">
      <c r="D144" s="13"/>
      <c r="R144" s="12"/>
      <c r="S144" s="12"/>
      <c r="T144" s="12"/>
      <c r="U144" s="12"/>
      <c r="V144" s="12"/>
      <c r="W144" s="12"/>
      <c r="X144" s="12"/>
      <c r="Y144" s="24">
        <v>142</v>
      </c>
      <c r="Z144" s="24">
        <f t="shared" si="54"/>
        <v>6210.4075822572904</v>
      </c>
      <c r="AA144" s="24" t="str">
        <f t="shared" si="63"/>
        <v>39021.1416724357i</v>
      </c>
      <c r="AB144" s="24">
        <f t="shared" si="55"/>
        <v>7.8571428571428568</v>
      </c>
      <c r="AD144" s="24" t="str">
        <f t="shared" si="56"/>
        <v>0.444812040030919-0.494220982655547i</v>
      </c>
      <c r="AE144" s="24" t="str">
        <f t="shared" si="57"/>
        <v>0.999774207403591-0.0162574153887168i</v>
      </c>
      <c r="AF144" s="24" t="str">
        <f t="shared" si="71"/>
        <v>2.9931588440709-3.43639217050175i</v>
      </c>
      <c r="AG144" s="24">
        <f t="shared" si="58"/>
        <v>4.5571691887975341</v>
      </c>
      <c r="AH144" s="24">
        <f t="shared" si="64"/>
        <v>-0.8542261725847714</v>
      </c>
      <c r="AI144" s="24">
        <f t="shared" si="53"/>
        <v>-48.943554438721264</v>
      </c>
      <c r="AJ144" s="24">
        <f t="shared" si="65"/>
        <v>13.173903048704886</v>
      </c>
      <c r="AL144" s="24" t="str">
        <f t="shared" si="66"/>
        <v>0.000038242638387067-0.00618394501007861i</v>
      </c>
      <c r="AM144" s="24" t="str">
        <f t="shared" si="67"/>
        <v>1.01086380798668+0.874645330664113i</v>
      </c>
      <c r="AN144" s="24" t="str">
        <f t="shared" si="68"/>
        <v>-1.83125924021314+2.09019795335102i</v>
      </c>
      <c r="AO144" s="24">
        <f t="shared" si="59"/>
        <v>2.7789274709964635</v>
      </c>
      <c r="AP144" s="24">
        <f t="shared" si="60"/>
        <v>2.2902589599226699</v>
      </c>
      <c r="AQ144" s="24">
        <f t="shared" si="61"/>
        <v>131.22217239559052</v>
      </c>
      <c r="AR144" s="24">
        <f t="shared" si="62"/>
        <v>8.8775442399226385</v>
      </c>
      <c r="AS144" s="24">
        <f t="shared" si="69"/>
        <v>22.051447288627525</v>
      </c>
      <c r="AT144" s="24">
        <f t="shared" si="70"/>
        <v>82.278617956869255</v>
      </c>
    </row>
    <row r="145" spans="4:46">
      <c r="D145" s="13"/>
      <c r="R145" s="12"/>
      <c r="S145" s="12"/>
      <c r="T145" s="12"/>
      <c r="U145" s="12"/>
      <c r="V145" s="12"/>
      <c r="W145" s="12"/>
      <c r="X145" s="12"/>
      <c r="Y145" s="24">
        <v>143</v>
      </c>
      <c r="Z145" s="24">
        <f t="shared" si="54"/>
        <v>6604.3824822253073</v>
      </c>
      <c r="AA145" s="24" t="str">
        <f t="shared" si="63"/>
        <v>41496.5589753123i</v>
      </c>
      <c r="AB145" s="24">
        <f t="shared" si="55"/>
        <v>7.8571428571428568</v>
      </c>
      <c r="AD145" s="24" t="str">
        <f t="shared" si="56"/>
        <v>0.414869559288893-0.489803314369541i</v>
      </c>
      <c r="AE145" s="24" t="str">
        <f t="shared" si="57"/>
        <v>0.999744657177305-0.0172883271404592i</v>
      </c>
      <c r="AF145" s="24" t="str">
        <f t="shared" si="71"/>
        <v>2.78491453469985-3.40561427200163i</v>
      </c>
      <c r="AG145" s="24">
        <f t="shared" si="58"/>
        <v>4.399313302692101</v>
      </c>
      <c r="AH145" s="24">
        <f t="shared" si="64"/>
        <v>-0.88533020342575786</v>
      </c>
      <c r="AI145" s="24">
        <f t="shared" si="53"/>
        <v>-50.725684131754541</v>
      </c>
      <c r="AJ145" s="24">
        <f t="shared" si="65"/>
        <v>12.867697838242355</v>
      </c>
      <c r="AL145" s="24" t="str">
        <f t="shared" si="66"/>
        <v>0.0000338162575538931-0.00581507644099527i</v>
      </c>
      <c r="AM145" s="24" t="str">
        <f t="shared" si="67"/>
        <v>1.0122856330275+0.930112168742922i</v>
      </c>
      <c r="AN145" s="24" t="str">
        <f t="shared" si="68"/>
        <v>-1.82974255599293+1.96829858918466i</v>
      </c>
      <c r="AO145" s="24">
        <f t="shared" si="59"/>
        <v>2.687407143958255</v>
      </c>
      <c r="AP145" s="24">
        <f t="shared" si="60"/>
        <v>2.3197297414385782</v>
      </c>
      <c r="AQ145" s="24">
        <f t="shared" si="61"/>
        <v>132.91072379540424</v>
      </c>
      <c r="AR145" s="24">
        <f t="shared" si="62"/>
        <v>8.5866693463748103</v>
      </c>
      <c r="AS145" s="24">
        <f t="shared" si="69"/>
        <v>21.454367184617166</v>
      </c>
      <c r="AT145" s="24">
        <f t="shared" si="70"/>
        <v>82.18503966364969</v>
      </c>
    </row>
    <row r="146" spans="4:46">
      <c r="D146" s="13"/>
      <c r="R146" s="12"/>
      <c r="S146" s="12"/>
      <c r="T146" s="12"/>
      <c r="U146" s="12"/>
      <c r="V146" s="12"/>
      <c r="W146" s="12"/>
      <c r="X146" s="12"/>
      <c r="Y146" s="24">
        <v>144</v>
      </c>
      <c r="Z146" s="24">
        <f t="shared" si="54"/>
        <v>7023.3503025047467</v>
      </c>
      <c r="AA146" s="24" t="str">
        <f t="shared" si="63"/>
        <v>44129.0114278731i</v>
      </c>
      <c r="AB146" s="24">
        <f t="shared" si="55"/>
        <v>7.8571428571428568</v>
      </c>
      <c r="AD146" s="24" t="str">
        <f t="shared" si="56"/>
        <v>0.385567531922753-0.483649864667663i</v>
      </c>
      <c r="AE146" s="24" t="str">
        <f t="shared" si="57"/>
        <v>0.99971124050846-0.0183845518795869i</v>
      </c>
      <c r="AF146" s="24" t="str">
        <f t="shared" si="71"/>
        <v>2.5811246806298-3.3627608579935i</v>
      </c>
      <c r="AG146" s="24">
        <f t="shared" si="58"/>
        <v>4.2391467543610082</v>
      </c>
      <c r="AH146" s="24">
        <f t="shared" si="64"/>
        <v>-0.91615047344891631</v>
      </c>
      <c r="AI146" s="24">
        <f t="shared" si="53"/>
        <v>-52.491555527535084</v>
      </c>
      <c r="AJ146" s="24">
        <f t="shared" si="65"/>
        <v>12.545569032029478</v>
      </c>
      <c r="AL146" s="24" t="str">
        <f t="shared" si="66"/>
        <v>0.0000299021913050459-0.00546820785669318i</v>
      </c>
      <c r="AM146" s="24" t="str">
        <f t="shared" si="67"/>
        <v>1.01389350586919+0.989093898978372i</v>
      </c>
      <c r="AN146" s="24" t="str">
        <f t="shared" si="68"/>
        <v>-1.82839236038777+1.85384572090637i</v>
      </c>
      <c r="AO146" s="24">
        <f t="shared" si="59"/>
        <v>2.6037977226442188</v>
      </c>
      <c r="AP146" s="24">
        <f t="shared" si="60"/>
        <v>2.3492821302193954</v>
      </c>
      <c r="AQ146" s="24">
        <f t="shared" si="61"/>
        <v>134.60395094707482</v>
      </c>
      <c r="AR146" s="24">
        <f t="shared" si="62"/>
        <v>8.3121448563593585</v>
      </c>
      <c r="AS146" s="24">
        <f t="shared" si="69"/>
        <v>20.857713888388837</v>
      </c>
      <c r="AT146" s="24">
        <f t="shared" si="70"/>
        <v>82.112395419539737</v>
      </c>
    </row>
    <row r="147" spans="4:46">
      <c r="D147" s="13"/>
      <c r="R147" s="12"/>
      <c r="S147" s="12"/>
      <c r="T147" s="12"/>
      <c r="U147" s="12"/>
      <c r="V147" s="12"/>
      <c r="W147" s="12"/>
      <c r="X147" s="12"/>
      <c r="Y147" s="24">
        <v>145</v>
      </c>
      <c r="Z147" s="24">
        <f t="shared" si="54"/>
        <v>7468.8965402065769</v>
      </c>
      <c r="AA147" s="24" t="str">
        <f t="shared" si="63"/>
        <v>46928.4610022704i</v>
      </c>
      <c r="AB147" s="24">
        <f t="shared" si="55"/>
        <v>7.8571428571428568</v>
      </c>
      <c r="AD147" s="24" t="str">
        <f t="shared" si="56"/>
        <v>0.357099015096076-0.475870618870631i</v>
      </c>
      <c r="AE147" s="24" t="str">
        <f t="shared" si="57"/>
        <v>0.999673451748997-0.0195502155365642i</v>
      </c>
      <c r="AF147" s="24" t="str">
        <f t="shared" si="71"/>
        <v>2.38313199252178-3.30859664630941i</v>
      </c>
      <c r="AG147" s="24">
        <f t="shared" si="58"/>
        <v>4.0775151577585467</v>
      </c>
      <c r="AH147" s="24">
        <f t="shared" si="64"/>
        <v>-0.94658570963645383</v>
      </c>
      <c r="AI147" s="24">
        <f t="shared" si="53"/>
        <v>-54.235366109564822</v>
      </c>
      <c r="AJ147" s="24">
        <f t="shared" si="65"/>
        <v>12.207911683240303</v>
      </c>
      <c r="AL147" s="24" t="str">
        <f t="shared" si="66"/>
        <v>0.0000264411470822503-0.00514202761058235i</v>
      </c>
      <c r="AM147" s="24" t="str">
        <f t="shared" si="67"/>
        <v>1.01571176088895+1.05181272791601i</v>
      </c>
      <c r="AN147" s="24" t="str">
        <f t="shared" si="68"/>
        <v>-1.82718820043125+1.74640653584489i</v>
      </c>
      <c r="AO147" s="24">
        <f t="shared" si="59"/>
        <v>2.5275586062912447</v>
      </c>
      <c r="AP147" s="24">
        <f t="shared" si="60"/>
        <v>2.3787957964793787</v>
      </c>
      <c r="AQ147" s="24">
        <f t="shared" si="61"/>
        <v>136.29495946172952</v>
      </c>
      <c r="AR147" s="24">
        <f t="shared" si="62"/>
        <v>8.0540246865965504</v>
      </c>
      <c r="AS147" s="24">
        <f t="shared" si="69"/>
        <v>20.261936369836853</v>
      </c>
      <c r="AT147" s="24">
        <f t="shared" si="70"/>
        <v>82.059593352164697</v>
      </c>
    </row>
    <row r="148" spans="4:46">
      <c r="D148" s="13"/>
      <c r="R148" s="12"/>
      <c r="S148" s="12"/>
      <c r="T148" s="12"/>
      <c r="U148" s="12"/>
      <c r="V148" s="12"/>
      <c r="W148" s="12"/>
      <c r="X148" s="12"/>
      <c r="Y148" s="24">
        <v>146</v>
      </c>
      <c r="Z148" s="24">
        <f t="shared" si="54"/>
        <v>7942.7072729684578</v>
      </c>
      <c r="AA148" s="24" t="str">
        <f t="shared" si="63"/>
        <v>49905.5016367439i</v>
      </c>
      <c r="AB148" s="24">
        <f t="shared" si="55"/>
        <v>7.8571428571428568</v>
      </c>
      <c r="AD148" s="24" t="str">
        <f t="shared" si="56"/>
        <v>0.329634092630341-0.46659986238604i</v>
      </c>
      <c r="AE148" s="24" t="str">
        <f t="shared" si="57"/>
        <v>0.999630719192381-0.0207897022623841i</v>
      </c>
      <c r="AF148" s="24" t="str">
        <f t="shared" si="71"/>
        <v>2.19211940792196-3.2440553450441i</v>
      </c>
      <c r="AG148" s="24">
        <f t="shared" si="58"/>
        <v>3.9152627728285774</v>
      </c>
      <c r="AH148" s="24">
        <f t="shared" si="64"/>
        <v>-0.97654238765170776</v>
      </c>
      <c r="AI148" s="24">
        <f t="shared" si="53"/>
        <v>-55.951757328071217</v>
      </c>
      <c r="AJ148" s="24">
        <f t="shared" si="65"/>
        <v>11.855218300853707</v>
      </c>
      <c r="AL148" s="24" t="str">
        <f t="shared" si="66"/>
        <v>0.0000233806938030509-0.00483530217734199i</v>
      </c>
      <c r="AM148" s="24" t="str">
        <f t="shared" si="67"/>
        <v>1.0177679124572+1.11850480236598i</v>
      </c>
      <c r="AN148" s="24" t="str">
        <f t="shared" si="68"/>
        <v>-1.82611183518103+1.64557470128387i</v>
      </c>
      <c r="AO148" s="24">
        <f t="shared" si="59"/>
        <v>2.4581701593042182</v>
      </c>
      <c r="AP148" s="24">
        <f t="shared" si="60"/>
        <v>2.4081504068363304</v>
      </c>
      <c r="AQ148" s="24">
        <f t="shared" si="61"/>
        <v>137.97685474443389</v>
      </c>
      <c r="AR148" s="24">
        <f t="shared" si="62"/>
        <v>7.8122388459402172</v>
      </c>
      <c r="AS148" s="24">
        <f t="shared" si="69"/>
        <v>19.667457146793925</v>
      </c>
      <c r="AT148" s="24">
        <f t="shared" si="70"/>
        <v>82.025097416362684</v>
      </c>
    </row>
    <row r="149" spans="4:46">
      <c r="D149" s="13"/>
      <c r="R149" s="12"/>
      <c r="S149" s="12"/>
      <c r="T149" s="12"/>
      <c r="U149" s="12"/>
      <c r="V149" s="12"/>
      <c r="W149" s="12"/>
      <c r="X149" s="12"/>
      <c r="Y149" s="24">
        <v>147</v>
      </c>
      <c r="Z149" s="24">
        <f t="shared" si="54"/>
        <v>8446.5755395671058</v>
      </c>
      <c r="AA149" s="24" t="str">
        <f t="shared" si="63"/>
        <v>53071.3993261905i</v>
      </c>
      <c r="AB149" s="24">
        <f t="shared" si="55"/>
        <v>7.8571428571428568</v>
      </c>
      <c r="AD149" s="24" t="str">
        <f t="shared" si="56"/>
        <v>0.303316536261192-0.455990795247007i</v>
      </c>
      <c r="AE149" s="24" t="str">
        <f t="shared" si="57"/>
        <v>0.999582396463014-0.0221076700974884i</v>
      </c>
      <c r="AF149" s="24" t="str">
        <f t="shared" si="71"/>
        <v>2.00908687119157-3.17020219660495i</v>
      </c>
      <c r="AG149" s="24">
        <f t="shared" si="58"/>
        <v>3.7532135595184539</v>
      </c>
      <c r="AH149" s="24">
        <f t="shared" si="64"/>
        <v>-1.0059360809923203</v>
      </c>
      <c r="AI149" s="24">
        <f t="shared" si="53"/>
        <v>-57.635891900790106</v>
      </c>
      <c r="AJ149" s="24">
        <f t="shared" si="65"/>
        <v>11.488065533301237</v>
      </c>
      <c r="AL149" s="24" t="str">
        <f t="shared" si="66"/>
        <v>0.0000206744679934502-0.00454687151345003i</v>
      </c>
      <c r="AM149" s="24" t="str">
        <f t="shared" si="67"/>
        <v>1.02009306969991+1.18942106216837i</v>
      </c>
      <c r="AN149" s="24" t="str">
        <f t="shared" si="68"/>
        <v>-1.8251469595773+1.55096883527003i</v>
      </c>
      <c r="AO149" s="24">
        <f t="shared" si="59"/>
        <v>2.3951337649561735</v>
      </c>
      <c r="AP149" s="24">
        <f t="shared" si="60"/>
        <v>2.4372277715277004</v>
      </c>
      <c r="AQ149" s="24">
        <f t="shared" si="61"/>
        <v>139.64286502061211</v>
      </c>
      <c r="AR149" s="24">
        <f t="shared" si="62"/>
        <v>7.5865954636553958</v>
      </c>
      <c r="AS149" s="24">
        <f t="shared" si="69"/>
        <v>19.074660996956631</v>
      </c>
      <c r="AT149" s="24">
        <f t="shared" si="70"/>
        <v>82.006973119821993</v>
      </c>
    </row>
    <row r="150" spans="4:46">
      <c r="D150" s="13"/>
      <c r="R150" s="12"/>
      <c r="S150" s="12"/>
      <c r="T150" s="12"/>
      <c r="U150" s="12"/>
      <c r="V150" s="12"/>
      <c r="W150" s="12"/>
      <c r="X150" s="12"/>
      <c r="Y150" s="24">
        <v>148</v>
      </c>
      <c r="Z150" s="24">
        <f t="shared" si="54"/>
        <v>8982.4081253027471</v>
      </c>
      <c r="AA150" s="24" t="str">
        <f t="shared" si="63"/>
        <v>56438.1347559928i</v>
      </c>
      <c r="AB150" s="24">
        <f t="shared" si="55"/>
        <v>7.8571428571428568</v>
      </c>
      <c r="AD150" s="24" t="str">
        <f t="shared" si="56"/>
        <v>0.278261843492513-0.444209790377659i</v>
      </c>
      <c r="AE150" s="24" t="str">
        <f t="shared" si="57"/>
        <v>0.999527752788685-0.0235090674908288i</v>
      </c>
      <c r="AF150" s="24" t="str">
        <f t="shared" si="71"/>
        <v>1.83483768753784-3.08819404388705i</v>
      </c>
      <c r="AG150" s="24">
        <f t="shared" si="58"/>
        <v>3.5921541994057908</v>
      </c>
      <c r="AH150" s="24">
        <f t="shared" si="64"/>
        <v>-1.0346924649637712</v>
      </c>
      <c r="AI150" s="24">
        <f t="shared" si="53"/>
        <v>-59.283511336411891</v>
      </c>
      <c r="AJ150" s="24">
        <f t="shared" si="65"/>
        <v>11.107099424680779</v>
      </c>
      <c r="AL150" s="24" t="str">
        <f t="shared" si="66"/>
        <v>0.0000182814717357124-0.00427564469097978i</v>
      </c>
      <c r="AM150" s="24" t="str">
        <f t="shared" si="67"/>
        <v>1.0227224051358+1.2648281406739i</v>
      </c>
      <c r="AN150" s="24" t="str">
        <f t="shared" si="68"/>
        <v>-1.82427895760832+1.46223107002083i</v>
      </c>
      <c r="AO150" s="24">
        <f t="shared" si="59"/>
        <v>2.3379720736798291</v>
      </c>
      <c r="AP150" s="24">
        <f t="shared" si="60"/>
        <v>2.4659138879644145</v>
      </c>
      <c r="AQ150" s="24">
        <f t="shared" si="61"/>
        <v>141.28645842305667</v>
      </c>
      <c r="AR150" s="24">
        <f t="shared" si="62"/>
        <v>7.3767863869938939</v>
      </c>
      <c r="AS150" s="24">
        <f t="shared" si="69"/>
        <v>18.483885811674675</v>
      </c>
      <c r="AT150" s="24">
        <f t="shared" si="70"/>
        <v>82.002947086644781</v>
      </c>
    </row>
    <row r="151" spans="4:46">
      <c r="D151" s="13"/>
      <c r="R151" s="12"/>
      <c r="S151" s="12"/>
      <c r="T151" s="12"/>
      <c r="U151" s="12"/>
      <c r="V151" s="12"/>
      <c r="W151" s="12"/>
      <c r="X151" s="12"/>
      <c r="Y151" s="24">
        <v>149</v>
      </c>
      <c r="Z151" s="24">
        <f t="shared" si="54"/>
        <v>9552.2327778341514</v>
      </c>
      <c r="AA151" s="24" t="str">
        <f t="shared" si="63"/>
        <v>60018.4486404468i</v>
      </c>
      <c r="AB151" s="24">
        <f t="shared" si="55"/>
        <v>7.8571428571428568</v>
      </c>
      <c r="AD151" s="24" t="str">
        <f t="shared" si="56"/>
        <v>0.25455662222592-0.431430662377623i</v>
      </c>
      <c r="AE151" s="24" t="str">
        <f t="shared" si="57"/>
        <v>0.999465962012663-0.0249991506940008i</v>
      </c>
      <c r="AF151" s="24" t="str">
        <f t="shared" si="71"/>
        <v>1.66997424374228-2.99923946956007i</v>
      </c>
      <c r="AG151" s="24">
        <f t="shared" si="58"/>
        <v>3.4328197404654928</v>
      </c>
      <c r="AH151" s="24">
        <f t="shared" si="64"/>
        <v>-1.0627479649862333</v>
      </c>
      <c r="AI151" s="24">
        <f t="shared" si="53"/>
        <v>-60.890973079828157</v>
      </c>
      <c r="AJ151" s="24">
        <f t="shared" si="65"/>
        <v>10.713019978934302</v>
      </c>
      <c r="AL151" s="24" t="str">
        <f t="shared" si="66"/>
        <v>0.0000161654518199583-0.00402059578895041i</v>
      </c>
      <c r="AM151" s="24" t="str">
        <f t="shared" si="67"/>
        <v>1.02569568412435+1.34500931467979i</v>
      </c>
      <c r="AN151" s="24" t="str">
        <f t="shared" si="68"/>
        <v>-1.82349468105651+1.37902570272267i</v>
      </c>
      <c r="AO151" s="24">
        <f t="shared" si="59"/>
        <v>2.2862293718284561</v>
      </c>
      <c r="AP151" s="24">
        <f t="shared" si="60"/>
        <v>2.4941007913426532</v>
      </c>
      <c r="AQ151" s="24">
        <f t="shared" si="61"/>
        <v>142.90144902417282</v>
      </c>
      <c r="AR151" s="24">
        <f t="shared" si="62"/>
        <v>7.1823959990695476</v>
      </c>
      <c r="AS151" s="24">
        <f t="shared" si="69"/>
        <v>17.89541597800385</v>
      </c>
      <c r="AT151" s="24">
        <f t="shared" si="70"/>
        <v>82.010475944344662</v>
      </c>
    </row>
    <row r="152" spans="4:46">
      <c r="D152" s="13"/>
      <c r="R152" s="12"/>
      <c r="S152" s="12"/>
      <c r="T152" s="12"/>
      <c r="U152" s="12"/>
      <c r="V152" s="12"/>
      <c r="W152" s="12"/>
      <c r="X152" s="12"/>
      <c r="Y152" s="24">
        <v>150</v>
      </c>
      <c r="Z152" s="24">
        <f t="shared" si="54"/>
        <v>10158.205880770249</v>
      </c>
      <c r="AA152" s="24" t="str">
        <f t="shared" si="63"/>
        <v>63825.8899373609i</v>
      </c>
      <c r="AB152" s="24">
        <f t="shared" si="55"/>
        <v>7.8571428571428568</v>
      </c>
      <c r="AD152" s="24" t="str">
        <f t="shared" si="56"/>
        <v>0.232259195570601-0.417829266773382i</v>
      </c>
      <c r="AE152" s="24" t="str">
        <f t="shared" si="57"/>
        <v>0.999396090184076-0.0265835020511463i</v>
      </c>
      <c r="AF152" s="24" t="str">
        <f t="shared" si="71"/>
        <v>1.51490221514332-2.9045612336587i</v>
      </c>
      <c r="AG152" s="24">
        <f t="shared" si="58"/>
        <v>3.2758822752838794</v>
      </c>
      <c r="AH152" s="24">
        <f t="shared" si="64"/>
        <v>-1.0900500601186163</v>
      </c>
      <c r="AI152" s="24">
        <f t="shared" si="53"/>
        <v>-62.455267902778367</v>
      </c>
      <c r="AJ152" s="24">
        <f t="shared" si="65"/>
        <v>10.306565724324042</v>
      </c>
      <c r="AL152" s="24" t="str">
        <f t="shared" si="66"/>
        <v>0.0000142943507129247-0.00378076002735725i</v>
      </c>
      <c r="AM152" s="24" t="str">
        <f t="shared" si="67"/>
        <v>1.02905786293627+1.4302655054116i</v>
      </c>
      <c r="AN152" s="24" t="str">
        <f t="shared" si="68"/>
        <v>-1.82278225048434+1.3010379287878i</v>
      </c>
      <c r="AO152" s="24">
        <f t="shared" si="59"/>
        <v>2.2394719968834629</v>
      </c>
      <c r="AP152" s="24">
        <f t="shared" si="60"/>
        <v>2.5216881385943419</v>
      </c>
      <c r="AQ152" s="24">
        <f t="shared" si="61"/>
        <v>144.4820875896564</v>
      </c>
      <c r="AR152" s="24">
        <f t="shared" si="62"/>
        <v>7.0029127249865439</v>
      </c>
      <c r="AS152" s="24">
        <f t="shared" si="69"/>
        <v>17.309478449310586</v>
      </c>
      <c r="AT152" s="24">
        <f t="shared" si="70"/>
        <v>82.026819686878042</v>
      </c>
    </row>
    <row r="153" spans="4:46">
      <c r="D153" s="13"/>
      <c r="R153" s="12"/>
      <c r="S153" s="12"/>
      <c r="T153" s="12"/>
      <c r="U153" s="12"/>
      <c r="V153" s="12"/>
      <c r="W153" s="12"/>
      <c r="X153" s="12"/>
      <c r="Y153" s="24">
        <v>151</v>
      </c>
      <c r="Z153" s="24">
        <f t="shared" si="54"/>
        <v>10802.620614058389</v>
      </c>
      <c r="AA153" s="24" t="str">
        <f t="shared" si="63"/>
        <v>67874.867121287i</v>
      </c>
      <c r="AB153" s="24">
        <f t="shared" si="55"/>
        <v>7.8571428571428568</v>
      </c>
      <c r="AD153" s="24" t="str">
        <f t="shared" si="56"/>
        <v>0.211401229736477-0.403578679942353i</v>
      </c>
      <c r="AE153" s="24" t="str">
        <f t="shared" si="57"/>
        <v>0.999317081545079-0.028268049199647i</v>
      </c>
      <c r="AF153" s="24" t="str">
        <f t="shared" si="71"/>
        <v>1.36984188810017-2.80536274962214i</v>
      </c>
      <c r="AG153" s="24">
        <f t="shared" si="58"/>
        <v>3.12194281743938</v>
      </c>
      <c r="AH153" s="24">
        <f t="shared" si="64"/>
        <v>-1.1165572703915465</v>
      </c>
      <c r="AI153" s="24">
        <f t="shared" si="53"/>
        <v>-63.974019178083097</v>
      </c>
      <c r="AJ153" s="24">
        <f t="shared" si="65"/>
        <v>9.88849888229241</v>
      </c>
      <c r="AL153" s="24" t="str">
        <f t="shared" si="66"/>
        <v>0.0000126398210409961-0.00355523012981159i</v>
      </c>
      <c r="AM153" s="24" t="str">
        <f t="shared" si="67"/>
        <v>1.03285976423919+1.52091633193286i</v>
      </c>
      <c r="AN153" s="24" t="str">
        <f t="shared" si="68"/>
        <v>-1.82213087545729+1.22797265290087i</v>
      </c>
      <c r="AO153" s="24">
        <f t="shared" si="59"/>
        <v>2.1972887301324673</v>
      </c>
      <c r="AP153" s="24">
        <f t="shared" si="60"/>
        <v>2.5485844725320383</v>
      </c>
      <c r="AQ153" s="24">
        <f t="shared" si="61"/>
        <v>146.02313400866089</v>
      </c>
      <c r="AR153" s="24">
        <f t="shared" si="62"/>
        <v>6.8377425645764953</v>
      </c>
      <c r="AS153" s="24">
        <f t="shared" si="69"/>
        <v>16.726241446868904</v>
      </c>
      <c r="AT153" s="24">
        <f t="shared" si="70"/>
        <v>82.049114830577793</v>
      </c>
    </row>
    <row r="154" spans="4:46">
      <c r="D154" s="13"/>
      <c r="R154" s="12"/>
      <c r="S154" s="12"/>
      <c r="T154" s="12"/>
      <c r="U154" s="12"/>
      <c r="V154" s="12"/>
      <c r="W154" s="12"/>
      <c r="X154" s="12"/>
      <c r="Y154" s="24">
        <v>152</v>
      </c>
      <c r="Z154" s="24">
        <f t="shared" si="54"/>
        <v>11487.915632049675</v>
      </c>
      <c r="AA154" s="24" t="str">
        <f t="shared" si="63"/>
        <v>72180.7027094132i</v>
      </c>
      <c r="AB154" s="24">
        <f t="shared" si="55"/>
        <v>7.8571428571428568</v>
      </c>
      <c r="AD154" s="24" t="str">
        <f t="shared" si="56"/>
        <v>0.191990147115469-0.388845129161379i</v>
      </c>
      <c r="AE154" s="24" t="str">
        <f t="shared" si="57"/>
        <v>0.999227742710848-0.0300590851892193i</v>
      </c>
      <c r="AF154" s="24" t="str">
        <f t="shared" si="71"/>
        <v>1.23484494341968-2.7027997772952i</v>
      </c>
      <c r="AG154" s="24">
        <f t="shared" si="58"/>
        <v>2.971526319997206</v>
      </c>
      <c r="AH154" s="24">
        <f t="shared" si="64"/>
        <v>-1.1422388695368721</v>
      </c>
      <c r="AI154" s="24">
        <f t="shared" si="53"/>
        <v>-65.445466420257034</v>
      </c>
      <c r="AJ154" s="24">
        <f t="shared" si="65"/>
        <v>9.4595916266241069</v>
      </c>
      <c r="AL154" s="24" t="str">
        <f t="shared" si="66"/>
        <v>0.0000111767962435248-0.00334315290149142i</v>
      </c>
      <c r="AM154" s="24" t="str">
        <f t="shared" si="67"/>
        <v>1.03715883988981+1.61730121807914i</v>
      </c>
      <c r="AN154" s="24" t="str">
        <f t="shared" si="68"/>
        <v>-1.82153069129263+1.15955337343741i</v>
      </c>
      <c r="AO154" s="24">
        <f t="shared" si="59"/>
        <v>2.1592911070930394</v>
      </c>
      <c r="AP154" s="24">
        <f t="shared" si="60"/>
        <v>2.5747081361594981</v>
      </c>
      <c r="AQ154" s="24">
        <f t="shared" si="61"/>
        <v>147.51990967993373</v>
      </c>
      <c r="AR154" s="24">
        <f t="shared" si="62"/>
        <v>6.6862239229386811</v>
      </c>
      <c r="AS154" s="24">
        <f t="shared" si="69"/>
        <v>16.145815549562787</v>
      </c>
      <c r="AT154" s="24">
        <f t="shared" si="70"/>
        <v>82.074443259676698</v>
      </c>
    </row>
    <row r="155" spans="4:46">
      <c r="D155" s="13"/>
      <c r="R155" s="12"/>
      <c r="S155" s="12"/>
      <c r="T155" s="12"/>
      <c r="U155" s="12"/>
      <c r="V155" s="12"/>
      <c r="W155" s="12"/>
      <c r="X155" s="12"/>
      <c r="Y155" s="24">
        <v>153</v>
      </c>
      <c r="Z155" s="24">
        <f t="shared" si="54"/>
        <v>12216.684292082227</v>
      </c>
      <c r="AA155" s="24" t="str">
        <f t="shared" si="63"/>
        <v>76759.6912464627i</v>
      </c>
      <c r="AB155" s="24">
        <f t="shared" si="55"/>
        <v>7.8571428571428568</v>
      </c>
      <c r="AD155" s="24" t="str">
        <f t="shared" si="56"/>
        <v>0.174012074318417-0.373784761468687i</v>
      </c>
      <c r="AE155" s="24" t="str">
        <f t="shared" si="57"/>
        <v>0.999126724813382-0.0319632895174735i</v>
      </c>
      <c r="AF155" s="24" t="str">
        <f t="shared" si="71"/>
        <v>1.10981496042609-2.59795794971058i</v>
      </c>
      <c r="AG155" s="24">
        <f t="shared" si="58"/>
        <v>2.8250796015068258</v>
      </c>
      <c r="AH155" s="24">
        <f t="shared" si="64"/>
        <v>-1.1670743726536092</v>
      </c>
      <c r="AI155" s="24">
        <f t="shared" si="53"/>
        <v>-66.868435930930076</v>
      </c>
      <c r="AJ155" s="24">
        <f t="shared" si="65"/>
        <v>9.0206137865294593</v>
      </c>
      <c r="AL155" s="24" t="str">
        <f t="shared" si="66"/>
        <v>0.0000098831109008279-0.00314372600984036i</v>
      </c>
      <c r="AM155" s="24" t="str">
        <f t="shared" si="67"/>
        <v>1.04202003215089+1.71978055363697i</v>
      </c>
      <c r="AN155" s="24" t="str">
        <f t="shared" si="68"/>
        <v>-1.82097260987558+1.09552113607213i</v>
      </c>
      <c r="AO155" s="24">
        <f t="shared" si="59"/>
        <v>2.125113598257244</v>
      </c>
      <c r="AP155" s="24">
        <f t="shared" si="60"/>
        <v>2.5999878302326858</v>
      </c>
      <c r="AQ155" s="24">
        <f t="shared" si="61"/>
        <v>148.96832945770927</v>
      </c>
      <c r="AR155" s="24">
        <f t="shared" si="62"/>
        <v>6.5476430056338444</v>
      </c>
      <c r="AS155" s="24">
        <f t="shared" si="69"/>
        <v>15.568256792163304</v>
      </c>
      <c r="AT155" s="24">
        <f t="shared" si="70"/>
        <v>82.099893526779198</v>
      </c>
    </row>
    <row r="156" spans="4:46">
      <c r="D156" s="13"/>
      <c r="R156" s="12"/>
      <c r="S156" s="12"/>
      <c r="T156" s="12"/>
      <c r="U156" s="12"/>
      <c r="V156" s="12"/>
      <c r="W156" s="12"/>
      <c r="X156" s="12"/>
      <c r="Y156" s="24">
        <v>154</v>
      </c>
      <c r="Z156" s="24">
        <f t="shared" si="54"/>
        <v>12991.684468506162</v>
      </c>
      <c r="AA156" s="24" t="str">
        <f t="shared" si="63"/>
        <v>81629.1609680312i</v>
      </c>
      <c r="AB156" s="24">
        <f t="shared" si="55"/>
        <v>7.8571428571428568</v>
      </c>
      <c r="AD156" s="24" t="str">
        <f t="shared" si="56"/>
        <v>0.157435086384374-0.35854126785913i</v>
      </c>
      <c r="AE156" s="24" t="str">
        <f t="shared" si="57"/>
        <v>0.999012503352188-0.0339877500678698i</v>
      </c>
      <c r="AF156" s="24" t="str">
        <f t="shared" si="71"/>
        <v>0.994529980981854-2.49183624854599i</v>
      </c>
      <c r="AG156" s="24">
        <f t="shared" si="58"/>
        <v>2.6829718173397801</v>
      </c>
      <c r="AH156" s="24">
        <f t="shared" si="64"/>
        <v>-1.1910528515394496</v>
      </c>
      <c r="AI156" s="24">
        <f t="shared" si="53"/>
        <v>-68.242301570232286</v>
      </c>
      <c r="AJ156" s="24">
        <f t="shared" si="65"/>
        <v>8.5723222149885174</v>
      </c>
      <c r="AL156" s="24" t="str">
        <f t="shared" si="66"/>
        <v>0.0000087391649917954-0.00295619495615405i</v>
      </c>
      <c r="AM156" s="24" t="str">
        <f t="shared" si="67"/>
        <v>1.04751674582121+1.82873690999794i</v>
      </c>
      <c r="AN156" s="24" t="str">
        <f t="shared" si="68"/>
        <v>-1.82044818229882+1.03563355261762i</v>
      </c>
      <c r="AO156" s="24">
        <f t="shared" si="59"/>
        <v>2.094413626708552</v>
      </c>
      <c r="AP156" s="24">
        <f t="shared" si="60"/>
        <v>2.6243628280315767</v>
      </c>
      <c r="AQ156" s="24">
        <f t="shared" si="61"/>
        <v>150.36491395722641</v>
      </c>
      <c r="AR156" s="24">
        <f t="shared" si="62"/>
        <v>6.4212490965961653</v>
      </c>
      <c r="AS156" s="24">
        <f t="shared" si="69"/>
        <v>14.993571311584683</v>
      </c>
      <c r="AT156" s="24">
        <f t="shared" si="70"/>
        <v>82.12261238699412</v>
      </c>
    </row>
    <row r="157" spans="4:46">
      <c r="D157" s="13"/>
      <c r="R157" s="12"/>
      <c r="S157" s="12"/>
      <c r="T157" s="12"/>
      <c r="U157" s="12"/>
      <c r="V157" s="12"/>
      <c r="W157" s="12"/>
      <c r="X157" s="12"/>
      <c r="Y157" s="24">
        <v>155</v>
      </c>
      <c r="Z157" s="24">
        <f t="shared" si="54"/>
        <v>13815.848989288772</v>
      </c>
      <c r="AA157" s="24" t="str">
        <f t="shared" si="63"/>
        <v>86807.5393757111i</v>
      </c>
      <c r="AB157" s="24">
        <f t="shared" si="55"/>
        <v>7.8571428571428568</v>
      </c>
      <c r="AD157" s="24" t="str">
        <f t="shared" si="56"/>
        <v>0.142212537050577-0.343244321243282i</v>
      </c>
      <c r="AE157" s="24" t="str">
        <f t="shared" si="57"/>
        <v>0.998883355463956-0.0361399859207296i</v>
      </c>
      <c r="AF157" s="24" t="str">
        <f t="shared" si="71"/>
        <v>0.888665672176371-2.38533613914742i</v>
      </c>
      <c r="AG157" s="24">
        <f t="shared" si="58"/>
        <v>2.5454970386208275</v>
      </c>
      <c r="AH157" s="24">
        <f t="shared" si="64"/>
        <v>-1.2141721295598851</v>
      </c>
      <c r="AI157" s="24">
        <f t="shared" si="53"/>
        <v>-69.566938626192794</v>
      </c>
      <c r="AJ157" s="24">
        <f t="shared" si="65"/>
        <v>8.1154519224867308</v>
      </c>
      <c r="AL157" s="24" t="str">
        <f t="shared" si="66"/>
        <v>7.72762700000233E-06-0.00277985022686174i</v>
      </c>
      <c r="AM157" s="24" t="str">
        <f t="shared" si="67"/>
        <v>1.05373194529126+1.94457630989287i</v>
      </c>
      <c r="AN157" s="24" t="str">
        <f t="shared" si="68"/>
        <v>-1.81994947126516+0.979663881340872i</v>
      </c>
      <c r="AO157" s="24">
        <f t="shared" si="59"/>
        <v>2.0668714034410072</v>
      </c>
      <c r="AP157" s="24">
        <f t="shared" si="60"/>
        <v>2.647782878296014</v>
      </c>
      <c r="AQ157" s="24">
        <f t="shared" si="61"/>
        <v>151.7067839933629</v>
      </c>
      <c r="AR157" s="24">
        <f t="shared" si="62"/>
        <v>6.306269130868694</v>
      </c>
      <c r="AS157" s="24">
        <f t="shared" si="69"/>
        <v>14.421721053355425</v>
      </c>
      <c r="AT157" s="24">
        <f t="shared" si="70"/>
        <v>82.139845367170111</v>
      </c>
    </row>
    <row r="158" spans="4:46">
      <c r="D158" s="13"/>
      <c r="R158" s="12"/>
      <c r="S158" s="12"/>
      <c r="T158" s="12"/>
      <c r="U158" s="12"/>
      <c r="V158" s="12"/>
      <c r="W158" s="12"/>
      <c r="X158" s="12"/>
      <c r="Y158" s="24">
        <v>156</v>
      </c>
      <c r="Z158" s="24">
        <f t="shared" si="54"/>
        <v>14692.296734695852</v>
      </c>
      <c r="AA158" s="24" t="str">
        <f t="shared" si="63"/>
        <v>92314.4229721636i</v>
      </c>
      <c r="AB158" s="24">
        <f t="shared" si="55"/>
        <v>7.8571428571428568</v>
      </c>
      <c r="AD158" s="24" t="str">
        <f t="shared" si="56"/>
        <v>0.128286303866342-0.328008744980192i</v>
      </c>
      <c r="AE158" s="24" t="str">
        <f t="shared" si="57"/>
        <v>0.998737334289072-0.0384279709889057i</v>
      </c>
      <c r="AF158" s="24" t="str">
        <f t="shared" si="71"/>
        <v>0.791817896909964-2.27925578654466i</v>
      </c>
      <c r="AG158" s="24">
        <f t="shared" si="58"/>
        <v>2.4128784723570798</v>
      </c>
      <c r="AH158" s="24">
        <f t="shared" si="64"/>
        <v>-1.2364379039829345</v>
      </c>
      <c r="AI158" s="24">
        <f t="shared" si="53"/>
        <v>-70.84267352822387</v>
      </c>
      <c r="AJ158" s="24">
        <f t="shared" si="65"/>
        <v>7.6507089734941456</v>
      </c>
      <c r="AL158" s="24" t="str">
        <f t="shared" si="66"/>
        <v>6.83317137454256E-06-0.00261402461394523i</v>
      </c>
      <c r="AM158" s="24" t="str">
        <f t="shared" si="67"/>
        <v>1.06075939223194+2.06772955001841i</v>
      </c>
      <c r="AN158" s="24" t="str">
        <f t="shared" si="68"/>
        <v>-1.8194689313451+0.927400165197085i</v>
      </c>
      <c r="AO158" s="24">
        <f t="shared" si="59"/>
        <v>2.0421895745835306</v>
      </c>
      <c r="AP158" s="24">
        <f t="shared" si="60"/>
        <v>2.6702078394587154</v>
      </c>
      <c r="AQ158" s="24">
        <f t="shared" si="61"/>
        <v>152.99163962373046</v>
      </c>
      <c r="AR158" s="24">
        <f t="shared" si="62"/>
        <v>6.2019210956060107</v>
      </c>
      <c r="AS158" s="24">
        <f t="shared" si="69"/>
        <v>13.852630069100156</v>
      </c>
      <c r="AT158" s="24">
        <f t="shared" si="70"/>
        <v>82.148966095506594</v>
      </c>
    </row>
    <row r="159" spans="4:46">
      <c r="D159" s="13"/>
      <c r="R159" s="12"/>
      <c r="S159" s="12"/>
      <c r="T159" s="12"/>
      <c r="U159" s="12"/>
      <c r="V159" s="12"/>
      <c r="W159" s="12"/>
      <c r="X159" s="12"/>
      <c r="Y159" s="24">
        <v>157</v>
      </c>
      <c r="Z159" s="24">
        <f t="shared" si="54"/>
        <v>15624.344440049217</v>
      </c>
      <c r="AA159" s="24" t="str">
        <f t="shared" si="63"/>
        <v>98170.6514200303i</v>
      </c>
      <c r="AB159" s="24">
        <f t="shared" si="55"/>
        <v>7.8571428571428568</v>
      </c>
      <c r="AD159" s="24" t="str">
        <f t="shared" si="56"/>
        <v>0.115589819724846-0.312934303459532i</v>
      </c>
      <c r="AE159" s="24" t="str">
        <f t="shared" si="57"/>
        <v>0.998572240074942-0.0408601584060787i</v>
      </c>
      <c r="AF159" s="24" t="str">
        <f t="shared" si="71"/>
        <v>0.703523799205806-2.17428859769105i</v>
      </c>
      <c r="AG159" s="24">
        <f t="shared" si="58"/>
        <v>2.2852738658852871</v>
      </c>
      <c r="AH159" s="24">
        <f t="shared" si="64"/>
        <v>-1.2578628376993701</v>
      </c>
      <c r="AI159" s="24">
        <f t="shared" si="53"/>
        <v>-72.070231806523168</v>
      </c>
      <c r="AJ159" s="24">
        <f t="shared" si="65"/>
        <v>7.1787650624344064</v>
      </c>
      <c r="AL159" s="24" t="str">
        <f t="shared" si="66"/>
        <v>6.04224637132618E-06-0.00245809069454017i</v>
      </c>
      <c r="AM159" s="24" t="str">
        <f t="shared" si="67"/>
        <v>1.06870504150076+2.19865357437487i</v>
      </c>
      <c r="AN159" s="24" t="str">
        <f t="shared" si="68"/>
        <v>-1.81899929530614+0.878644424595871i</v>
      </c>
      <c r="AO159" s="24">
        <f t="shared" si="59"/>
        <v>2.0200926862888355</v>
      </c>
      <c r="AP159" s="24">
        <f t="shared" si="60"/>
        <v>2.6916070954544158</v>
      </c>
      <c r="AQ159" s="24">
        <f t="shared" si="61"/>
        <v>154.21772667700412</v>
      </c>
      <c r="AR159" s="24">
        <f t="shared" si="62"/>
        <v>6.107425925767366</v>
      </c>
      <c r="AS159" s="24">
        <f t="shared" si="69"/>
        <v>13.286190988201772</v>
      </c>
      <c r="AT159" s="24">
        <f t="shared" si="70"/>
        <v>82.147494870480955</v>
      </c>
    </row>
    <row r="160" spans="4:46">
      <c r="D160" s="13"/>
      <c r="R160" s="12"/>
      <c r="S160" s="12"/>
      <c r="T160" s="12"/>
      <c r="U160" s="12"/>
      <c r="V160" s="12"/>
      <c r="W160" s="12"/>
      <c r="X160" s="12"/>
      <c r="Y160" s="24">
        <v>158</v>
      </c>
      <c r="Z160" s="24">
        <f t="shared" si="54"/>
        <v>16615.519247226184</v>
      </c>
      <c r="AA160" s="24" t="str">
        <f t="shared" si="63"/>
        <v>104398.386405331i</v>
      </c>
      <c r="AB160" s="24">
        <f t="shared" si="55"/>
        <v>7.8571428571428568</v>
      </c>
      <c r="AD160" s="24" t="str">
        <f t="shared" si="56"/>
        <v>0.104050804078748-0.298105995187563i</v>
      </c>
      <c r="AE160" s="24" t="str">
        <f t="shared" si="57"/>
        <v>0.998385587614537-0.0434455055665253i</v>
      </c>
      <c r="AF160" s="24" t="str">
        <f t="shared" si="71"/>
        <v>0.62328080104652-2.0710252585093i</v>
      </c>
      <c r="AG160" s="24">
        <f t="shared" si="58"/>
        <v>2.1627816760682768</v>
      </c>
      <c r="AH160" s="24">
        <f t="shared" si="64"/>
        <v>-1.2784656551289721</v>
      </c>
      <c r="AI160" s="24">
        <f t="shared" si="53"/>
        <v>-73.250686291317933</v>
      </c>
      <c r="AJ160" s="24">
        <f t="shared" si="65"/>
        <v>6.7002536281314251</v>
      </c>
      <c r="AL160" s="24" t="str">
        <f t="shared" si="66"/>
        <v>0.0000053428687601045-0.00231145846033579i</v>
      </c>
      <c r="AM160" s="24" t="str">
        <f t="shared" si="67"/>
        <v>1.07768861492399+2.33783289489902i</v>
      </c>
      <c r="AN160" s="24" t="str">
        <f t="shared" si="68"/>
        <v>-1.8185334648313+0.833211901474111i</v>
      </c>
      <c r="AO160" s="24">
        <f t="shared" si="59"/>
        <v>2.0003264822196991</v>
      </c>
      <c r="AP160" s="24">
        <f t="shared" si="60"/>
        <v>2.7119588058604456</v>
      </c>
      <c r="AQ160" s="24">
        <f t="shared" si="61"/>
        <v>155.38379378914212</v>
      </c>
      <c r="AR160" s="24">
        <f t="shared" si="62"/>
        <v>6.0220176918274486</v>
      </c>
      <c r="AS160" s="24">
        <f t="shared" si="69"/>
        <v>12.722271319958875</v>
      </c>
      <c r="AT160" s="24">
        <f t="shared" si="70"/>
        <v>82.133107497824184</v>
      </c>
    </row>
    <row r="161" spans="4:46">
      <c r="D161" s="13"/>
      <c r="R161" s="12"/>
      <c r="S161" s="12"/>
      <c r="T161" s="12"/>
      <c r="U161" s="12"/>
      <c r="V161" s="12"/>
      <c r="W161" s="12"/>
      <c r="X161" s="12"/>
      <c r="Y161" s="24">
        <v>159</v>
      </c>
      <c r="Z161" s="24">
        <f t="shared" si="54"/>
        <v>17669.572052398642</v>
      </c>
      <c r="AA161" s="24" t="str">
        <f t="shared" si="63"/>
        <v>111021.195503782i</v>
      </c>
      <c r="AB161" s="24">
        <f t="shared" si="55"/>
        <v>7.8571428571428568</v>
      </c>
      <c r="AD161" s="24" t="str">
        <f t="shared" si="56"/>
        <v>0.0935936442825312-0.283594729165705i</v>
      </c>
      <c r="AE161" s="24" t="str">
        <f t="shared" si="57"/>
        <v>0.998174569572998-0.0461934996794734i</v>
      </c>
      <c r="AF161" s="24" t="str">
        <f t="shared" si="71"/>
        <v>0.5505631660948-1.9699584366523i</v>
      </c>
      <c r="AG161" s="24">
        <f t="shared" si="58"/>
        <v>2.045447638537321</v>
      </c>
      <c r="AH161" s="24">
        <f t="shared" si="64"/>
        <v>-1.2982702696789317</v>
      </c>
      <c r="AI161" s="24">
        <f t="shared" si="53"/>
        <v>-74.385407119913992</v>
      </c>
      <c r="AJ161" s="24">
        <f t="shared" si="65"/>
        <v>6.2157673292386395</v>
      </c>
      <c r="AL161" s="24" t="str">
        <f t="shared" si="66"/>
        <v>4.72444228892959E-06-0.00217357308793025i</v>
      </c>
      <c r="AM161" s="24" t="str">
        <f t="shared" si="67"/>
        <v>1.08784537489607+2.4857810544469i</v>
      </c>
      <c r="AN161" s="24" t="str">
        <f t="shared" si="68"/>
        <v>-1.81806440402096+0.790930351591228i</v>
      </c>
      <c r="AO161" s="24">
        <f t="shared" si="59"/>
        <v>1.9826570551248419</v>
      </c>
      <c r="AP161" s="24">
        <f t="shared" si="60"/>
        <v>2.731249041700675</v>
      </c>
      <c r="AQ161" s="24">
        <f t="shared" si="61"/>
        <v>156.48904288859927</v>
      </c>
      <c r="AR161" s="24">
        <f t="shared" si="62"/>
        <v>5.9449519951770906</v>
      </c>
      <c r="AS161" s="24">
        <f t="shared" si="69"/>
        <v>12.16071932441573</v>
      </c>
      <c r="AT161" s="24">
        <f t="shared" si="70"/>
        <v>82.10363576868528</v>
      </c>
    </row>
    <row r="162" spans="4:46">
      <c r="D162" s="13"/>
      <c r="R162" s="12"/>
      <c r="S162" s="12"/>
      <c r="T162" s="12"/>
      <c r="U162" s="12"/>
      <c r="V162" s="12"/>
      <c r="W162" s="12"/>
      <c r="X162" s="12"/>
      <c r="Y162" s="24">
        <v>160</v>
      </c>
      <c r="Z162" s="24">
        <f t="shared" si="54"/>
        <v>18790.49170052441</v>
      </c>
      <c r="AA162" s="24" t="str">
        <f t="shared" si="63"/>
        <v>118064.141367415i</v>
      </c>
      <c r="AB162" s="24">
        <f t="shared" si="55"/>
        <v>7.8571428571428568</v>
      </c>
      <c r="AD162" s="24" t="str">
        <f t="shared" si="56"/>
        <v>0.084141408256204-0.269458273784364i</v>
      </c>
      <c r="AE162" s="24" t="str">
        <f t="shared" si="57"/>
        <v>0.997936015205634-0.0491141836575422i</v>
      </c>
      <c r="AF162" s="24" t="str">
        <f t="shared" si="71"/>
        <v>0.484835999534042-1.87148937954656i</v>
      </c>
      <c r="AG162" s="24">
        <f t="shared" si="58"/>
        <v>1.933271435727467</v>
      </c>
      <c r="AH162" s="24">
        <f t="shared" si="64"/>
        <v>-1.3173049629716391</v>
      </c>
      <c r="AI162" s="24">
        <f t="shared" si="53"/>
        <v>-75.476014709912107</v>
      </c>
      <c r="AJ162" s="24">
        <f t="shared" si="65"/>
        <v>5.7258566849447687</v>
      </c>
      <c r="AL162" s="24" t="str">
        <f t="shared" si="66"/>
        <v>4.17759715723459E-06-0.00204391284181019i</v>
      </c>
      <c r="AM162" s="24" t="str">
        <f t="shared" si="67"/>
        <v>1.09932812223931+2.64304212530359i</v>
      </c>
      <c r="AN162" s="24" t="str">
        <f t="shared" si="68"/>
        <v>-1.8175850341274+0.751639382084988i</v>
      </c>
      <c r="AO162" s="24">
        <f t="shared" si="59"/>
        <v>1.9668698780003226</v>
      </c>
      <c r="AP162" s="24">
        <f t="shared" si="60"/>
        <v>2.7494708539031159</v>
      </c>
      <c r="AQ162" s="24">
        <f t="shared" si="61"/>
        <v>157.53307582287911</v>
      </c>
      <c r="AR162" s="24">
        <f t="shared" si="62"/>
        <v>5.8755125859241231</v>
      </c>
      <c r="AS162" s="24">
        <f t="shared" si="69"/>
        <v>11.601369270868892</v>
      </c>
      <c r="AT162" s="24">
        <f t="shared" si="70"/>
        <v>82.057061112967006</v>
      </c>
    </row>
    <row r="163" spans="4:46">
      <c r="D163" s="13"/>
      <c r="R163" s="12"/>
      <c r="S163" s="12"/>
      <c r="T163" s="12"/>
      <c r="U163" s="12"/>
      <c r="V163" s="12"/>
      <c r="W163" s="12"/>
      <c r="X163" s="12"/>
      <c r="Y163" s="24">
        <v>161</v>
      </c>
      <c r="Z163" s="24">
        <f t="shared" si="54"/>
        <v>19982.5200803064</v>
      </c>
      <c r="AA163" s="24" t="str">
        <f t="shared" si="63"/>
        <v>125553.876569002i</v>
      </c>
      <c r="AB163" s="24">
        <f t="shared" si="55"/>
        <v>7.8571428571428568</v>
      </c>
      <c r="AD163" s="24" t="str">
        <f t="shared" si="56"/>
        <v>0.075617493324627-0.255742380926517i</v>
      </c>
      <c r="AE163" s="24" t="str">
        <f t="shared" si="57"/>
        <v>0.997666343916995-0.0522181821057174i</v>
      </c>
      <c r="AF163" s="24" t="str">
        <f t="shared" si="71"/>
        <v>0.425566717817041-1.77593573098296i</v>
      </c>
      <c r="AG163" s="24">
        <f t="shared" si="58"/>
        <v>1.8262132273903695</v>
      </c>
      <c r="AH163" s="24">
        <f t="shared" si="64"/>
        <v>-1.3356016295998487</v>
      </c>
      <c r="AI163" s="24">
        <f t="shared" si="53"/>
        <v>-76.524336486866375</v>
      </c>
      <c r="AJ163" s="24">
        <f t="shared" si="65"/>
        <v>5.2310296816288959</v>
      </c>
      <c r="AL163" s="24" t="str">
        <f t="shared" si="66"/>
        <v>3.69404806665912E-06-0.00192198710210761i</v>
      </c>
      <c r="AM163" s="24" t="str">
        <f t="shared" si="67"/>
        <v>1.11230944549476+2.81019223409782i</v>
      </c>
      <c r="AN163" s="24" t="str">
        <f t="shared" si="68"/>
        <v>-1.81708812800815+0.715189831428608i</v>
      </c>
      <c r="AO163" s="24">
        <f t="shared" si="59"/>
        <v>1.9527687420498732</v>
      </c>
      <c r="AP163" s="24">
        <f t="shared" si="60"/>
        <v>2.7666233151617416</v>
      </c>
      <c r="AQ163" s="24">
        <f t="shared" si="61"/>
        <v>158.51583946126001</v>
      </c>
      <c r="AR163" s="24">
        <f t="shared" si="62"/>
        <v>5.8130162943450383</v>
      </c>
      <c r="AS163" s="24">
        <f t="shared" si="69"/>
        <v>11.044045975973933</v>
      </c>
      <c r="AT163" s="24">
        <f t="shared" si="70"/>
        <v>81.99150297439364</v>
      </c>
    </row>
    <row r="164" spans="4:46">
      <c r="D164" s="13"/>
      <c r="R164" s="12"/>
      <c r="S164" s="12"/>
      <c r="T164" s="12"/>
      <c r="U164" s="12"/>
      <c r="V164" s="12"/>
      <c r="W164" s="12"/>
      <c r="X164" s="12"/>
      <c r="Y164" s="24">
        <v>162</v>
      </c>
      <c r="Z164" s="24">
        <f t="shared" si="54"/>
        <v>21250.168176743602</v>
      </c>
      <c r="AA164" s="24" t="str">
        <f t="shared" si="63"/>
        <v>133518.744463211i</v>
      </c>
      <c r="AB164" s="24">
        <f t="shared" si="55"/>
        <v>7.8571428571428568</v>
      </c>
      <c r="AD164" s="24" t="str">
        <f t="shared" si="56"/>
        <v>0.0679469328896531-0.24248200390991i</v>
      </c>
      <c r="AE164" s="24" t="str">
        <f t="shared" si="57"/>
        <v>0.997361513053208-0.0555167271130298i</v>
      </c>
      <c r="AF164" s="24" t="str">
        <f t="shared" si="71"/>
        <v>0.372234138975646-1.6835400003441i</v>
      </c>
      <c r="AG164" s="24">
        <f t="shared" si="58"/>
        <v>1.7241998686282143</v>
      </c>
      <c r="AH164" s="24">
        <f t="shared" ref="AH164:AH195" si="72">IMARGUMENT(AF164)</f>
        <v>-1.3531950956257328</v>
      </c>
      <c r="AI164" s="24">
        <f t="shared" si="53"/>
        <v>-77.532367837156343</v>
      </c>
      <c r="AJ164" s="24">
        <f t="shared" ref="AJ164:AJ195" si="73">20*LOG(AG164,10)</f>
        <v>4.7317521533368199</v>
      </c>
      <c r="AL164" s="24" t="str">
        <f t="shared" ref="AL164:AL195" si="74">IMDIV(1,IMSUM(1,IMDIV(AA164,wp2e)))</f>
        <v>3.26646869992914E-06-0.00180733450974394i</v>
      </c>
      <c r="AM164" s="24" t="str">
        <f t="shared" ref="AM164:AM195" si="75">IMDIV(IMSUM(1,IMDIV(AA164,wz2e)),IMSUM(1,IMDIV(AA164,wp1e)))</f>
        <v>1.12698425177169+2.987841101198i</v>
      </c>
      <c r="AN164" s="24" t="str">
        <f t="shared" ref="AN164:AN195" si="76">IMPRODUCT($AK$2,AL164,AM164)</f>
        <v>-1.81656620280088+0.681443189010522i</v>
      </c>
      <c r="AO164" s="24">
        <f t="shared" si="59"/>
        <v>1.9401746284825081</v>
      </c>
      <c r="AP164" s="24">
        <f t="shared" si="60"/>
        <v>2.7827105687470883</v>
      </c>
      <c r="AQ164" s="24">
        <f t="shared" si="61"/>
        <v>159.43757119565709</v>
      </c>
      <c r="AR164" s="24">
        <f t="shared" si="62"/>
        <v>5.7568164210083985</v>
      </c>
      <c r="AS164" s="24">
        <f t="shared" ref="AS164:AS195" si="77">AR164+AJ164</f>
        <v>10.488568574345219</v>
      </c>
      <c r="AT164" s="24">
        <f t="shared" ref="AT164:AT195" si="78">AQ164+AI164</f>
        <v>81.905203358500742</v>
      </c>
    </row>
    <row r="165" spans="4:46">
      <c r="D165" s="13"/>
      <c r="R165" s="12"/>
      <c r="S165" s="12"/>
      <c r="T165" s="12"/>
      <c r="U165" s="12"/>
      <c r="V165" s="12"/>
      <c r="W165" s="12"/>
      <c r="X165" s="12"/>
      <c r="Y165" s="24">
        <v>163</v>
      </c>
      <c r="Z165" s="24">
        <f t="shared" si="54"/>
        <v>22598.233142021272</v>
      </c>
      <c r="AA165" s="24" t="str">
        <f t="shared" si="63"/>
        <v>141988.886446167i</v>
      </c>
      <c r="AB165" s="24">
        <f t="shared" si="55"/>
        <v>7.8571428571428568</v>
      </c>
      <c r="AD165" s="24" t="str">
        <f t="shared" si="56"/>
        <v>0.0610573933384372-0.22970254432545i</v>
      </c>
      <c r="AE165" s="24" t="str">
        <f t="shared" si="57"/>
        <v>0.9970169592587-0.0590216834714954i</v>
      </c>
      <c r="AF165" s="24" t="str">
        <f t="shared" si="71"/>
        <v>0.324335418885443-1.59447823282073i</v>
      </c>
      <c r="AG165" s="24">
        <f t="shared" si="58"/>
        <v>1.6271306950834385</v>
      </c>
      <c r="AH165" s="24">
        <f t="shared" si="72"/>
        <v>-1.3701225145041864</v>
      </c>
      <c r="AI165" s="24">
        <f t="shared" si="53"/>
        <v>-78.502237496941802</v>
      </c>
      <c r="AJ165" s="24">
        <f t="shared" si="73"/>
        <v>4.2284487584781907</v>
      </c>
      <c r="AL165" s="24" t="str">
        <f t="shared" si="74"/>
        <v>0.0000028883807267833-0.00169952122200344i</v>
      </c>
      <c r="AM165" s="24" t="str">
        <f t="shared" si="75"/>
        <v>1.14357261246207+3.17663357926626i</v>
      </c>
      <c r="AN165" s="24" t="str">
        <f t="shared" si="76"/>
        <v>-1.81601140932441+0.650271051614507i</v>
      </c>
      <c r="AO165" s="24">
        <f t="shared" si="59"/>
        <v>1.9289245395723149</v>
      </c>
      <c r="AP165" s="24">
        <f t="shared" si="60"/>
        <v>2.7977409104053614</v>
      </c>
      <c r="AQ165" s="24">
        <f t="shared" si="61"/>
        <v>160.29874633731581</v>
      </c>
      <c r="AR165" s="24">
        <f t="shared" si="62"/>
        <v>5.7063047634700572</v>
      </c>
      <c r="AS165" s="24">
        <f t="shared" si="77"/>
        <v>9.9347535219482488</v>
      </c>
      <c r="AT165" s="24">
        <f t="shared" si="78"/>
        <v>81.796508840374003</v>
      </c>
    </row>
    <row r="166" spans="4:46">
      <c r="D166" s="13"/>
      <c r="R166" s="12"/>
      <c r="S166" s="12"/>
      <c r="T166" s="12"/>
      <c r="U166" s="12"/>
      <c r="V166" s="12"/>
      <c r="W166" s="12"/>
      <c r="X166" s="12"/>
      <c r="Y166" s="24">
        <v>164</v>
      </c>
      <c r="Z166" s="24">
        <f t="shared" si="54"/>
        <v>24031.816449341983</v>
      </c>
      <c r="AA166" s="24" t="str">
        <f t="shared" si="63"/>
        <v>150996.356019342i</v>
      </c>
      <c r="AB166" s="24">
        <f t="shared" si="55"/>
        <v>7.8571428571428568</v>
      </c>
      <c r="AD166" s="24" t="str">
        <f t="shared" si="56"/>
        <v>0.0548798993607841-0.217421078390982i</v>
      </c>
      <c r="AE166" s="24" t="str">
        <f t="shared" si="57"/>
        <v>0.996627532664281-0.0627455728534861i</v>
      </c>
      <c r="AF166" s="24" t="str">
        <f t="shared" si="71"/>
        <v>0.281391099008849-1.50886853720304i</v>
      </c>
      <c r="AG166" s="24">
        <f t="shared" si="58"/>
        <v>1.5348828011163098</v>
      </c>
      <c r="AH166" s="24">
        <f t="shared" si="72"/>
        <v>-1.3864228405650407</v>
      </c>
      <c r="AI166" s="24">
        <f t="shared" si="53"/>
        <v>-79.436177384915865</v>
      </c>
      <c r="AJ166" s="24">
        <f t="shared" si="73"/>
        <v>3.7215043940274843</v>
      </c>
      <c r="AL166" s="24" t="str">
        <f t="shared" si="74"/>
        <v>2.55405565586146E-06-0.00159813927198513i</v>
      </c>
      <c r="AM166" s="24" t="str">
        <f t="shared" si="75"/>
        <v>1.16232296051537+3.37725117153636i</v>
      </c>
      <c r="AN166" s="24" t="str">
        <f t="shared" si="76"/>
        <v>-1.81541541669609+0.621554614108183i</v>
      </c>
      <c r="AO166" s="24">
        <f t="shared" si="59"/>
        <v>1.9188703117972852</v>
      </c>
      <c r="AP166" s="24">
        <f t="shared" si="60"/>
        <v>2.811725922450294</v>
      </c>
      <c r="AQ166" s="24">
        <f t="shared" si="61"/>
        <v>161.10002850393005</v>
      </c>
      <c r="AR166" s="24">
        <f t="shared" si="62"/>
        <v>5.6609124725721234</v>
      </c>
      <c r="AS166" s="24">
        <f t="shared" si="77"/>
        <v>9.3824168665996073</v>
      </c>
      <c r="AT166" s="24">
        <f t="shared" si="78"/>
        <v>81.663851119014183</v>
      </c>
    </row>
    <row r="167" spans="4:46">
      <c r="D167" s="13"/>
      <c r="R167" s="12"/>
      <c r="S167" s="12"/>
      <c r="T167" s="12"/>
      <c r="U167" s="12"/>
      <c r="V167" s="12"/>
      <c r="W167" s="12"/>
      <c r="X167" s="12"/>
      <c r="Y167" s="24">
        <v>165</v>
      </c>
      <c r="Z167" s="24">
        <f t="shared" si="54"/>
        <v>25556.343198396022</v>
      </c>
      <c r="AA167" s="24" t="str">
        <f t="shared" si="63"/>
        <v>160575.240089401i</v>
      </c>
      <c r="AB167" s="24">
        <f t="shared" si="55"/>
        <v>7.8571428571428568</v>
      </c>
      <c r="AD167" s="24" t="str">
        <f t="shared" si="56"/>
        <v>0.0493493277897347-0.205647527304687i</v>
      </c>
      <c r="AE167" s="24" t="str">
        <f t="shared" si="57"/>
        <v>0.996187423107408-0.0667015963666585i</v>
      </c>
      <c r="AF167" s="24" t="str">
        <f t="shared" si="71"/>
        <v>0.242948544645034-1.42677922426767i</v>
      </c>
      <c r="AG167" s="24">
        <f t="shared" si="58"/>
        <v>1.4473157741650555</v>
      </c>
      <c r="AH167" s="24">
        <f t="shared" si="72"/>
        <v>-1.4021363775507045</v>
      </c>
      <c r="AI167" s="24">
        <f t="shared" si="53"/>
        <v>-80.336496735417114</v>
      </c>
      <c r="AJ167" s="24">
        <f t="shared" si="73"/>
        <v>3.2112659094006308</v>
      </c>
      <c r="AL167" s="24" t="str">
        <f t="shared" si="74"/>
        <v>2.25842804596954E-06-0.00150280502576758i</v>
      </c>
      <c r="AM167" s="24" t="str">
        <f t="shared" si="75"/>
        <v>1.18351567953762+3.59041350542554i</v>
      </c>
      <c r="AN167" s="24" t="str">
        <f t="shared" si="76"/>
        <v>-1.81476929062861+0.595184191648512i</v>
      </c>
      <c r="AO167" s="24">
        <f t="shared" si="59"/>
        <v>1.9098774306737489</v>
      </c>
      <c r="AP167" s="24">
        <f t="shared" si="60"/>
        <v>2.8246796728606625</v>
      </c>
      <c r="AQ167" s="24">
        <f t="shared" si="61"/>
        <v>161.84222373131001</v>
      </c>
      <c r="AR167" s="24">
        <f t="shared" si="62"/>
        <v>5.6201099324927553</v>
      </c>
      <c r="AS167" s="24">
        <f t="shared" si="77"/>
        <v>8.8313758418933865</v>
      </c>
      <c r="AT167" s="24">
        <f t="shared" si="78"/>
        <v>81.5057269958929</v>
      </c>
    </row>
    <row r="168" spans="4:46">
      <c r="D168" s="13"/>
      <c r="R168" s="12"/>
      <c r="S168" s="12"/>
      <c r="T168" s="12"/>
      <c r="U168" s="12"/>
      <c r="V168" s="12"/>
      <c r="W168" s="12"/>
      <c r="X168" s="12"/>
      <c r="Y168" s="24">
        <v>166</v>
      </c>
      <c r="Z168" s="24">
        <f t="shared" si="54"/>
        <v>27177.582645530147</v>
      </c>
      <c r="AA168" s="24" t="str">
        <f t="shared" si="63"/>
        <v>170761.787963054i</v>
      </c>
      <c r="AB168" s="24">
        <f t="shared" si="55"/>
        <v>7.8571428571428568</v>
      </c>
      <c r="AD168" s="24" t="str">
        <f t="shared" si="56"/>
        <v>0.0444047092697874-0.194385747843247i</v>
      </c>
      <c r="AE168" s="24" t="str">
        <f t="shared" si="57"/>
        <v>0.995690077518608-0.0709036547716784i</v>
      </c>
      <c r="AF168" s="24" t="str">
        <f t="shared" si="71"/>
        <v>0.208584047086367-1.3482363905831i</v>
      </c>
      <c r="AG168" s="24">
        <f t="shared" si="58"/>
        <v>1.36427587737652</v>
      </c>
      <c r="AH168" s="24">
        <f t="shared" si="72"/>
        <v>-1.4173043978553335</v>
      </c>
      <c r="AI168" s="24">
        <f t="shared" si="53"/>
        <v>-81.205560282441084</v>
      </c>
      <c r="AJ168" s="24">
        <f t="shared" si="73"/>
        <v>2.6980440032945308</v>
      </c>
      <c r="AL168" s="24" t="str">
        <f t="shared" si="74"/>
        <v>1.99701876213429E-06-0.00141315773148306i</v>
      </c>
      <c r="AM168" s="24" t="str">
        <f t="shared" si="75"/>
        <v>1.20746712868228+3.81687973114126i</v>
      </c>
      <c r="AN168" s="24" t="str">
        <f t="shared" si="76"/>
        <v>-1.81406336383148+0.571058770680324i</v>
      </c>
      <c r="AO168" s="24">
        <f t="shared" si="59"/>
        <v>1.9018238634443798</v>
      </c>
      <c r="AP168" s="24">
        <f t="shared" si="60"/>
        <v>2.8366179868533936</v>
      </c>
      <c r="AQ168" s="24">
        <f t="shared" si="61"/>
        <v>162.52623873759549</v>
      </c>
      <c r="AR168" s="24">
        <f t="shared" si="62"/>
        <v>5.5834058495427383</v>
      </c>
      <c r="AS168" s="24">
        <f t="shared" si="77"/>
        <v>8.2814498528372695</v>
      </c>
      <c r="AT168" s="24">
        <f t="shared" si="78"/>
        <v>81.320678455154408</v>
      </c>
    </row>
    <row r="169" spans="4:46">
      <c r="D169" s="13"/>
      <c r="R169" s="12"/>
      <c r="S169" s="12"/>
      <c r="T169" s="12"/>
      <c r="U169" s="12"/>
      <c r="V169" s="12"/>
      <c r="W169" s="12"/>
      <c r="X169" s="12"/>
      <c r="Y169" s="24">
        <v>167</v>
      </c>
      <c r="Z169" s="24">
        <f t="shared" si="54"/>
        <v>28901.670036305419</v>
      </c>
      <c r="AA169" s="24" t="str">
        <f t="shared" si="63"/>
        <v>181594.548525067i</v>
      </c>
      <c r="AB169" s="24">
        <f t="shared" si="55"/>
        <v>7.8571428571428568</v>
      </c>
      <c r="AD169" s="24" t="str">
        <f t="shared" si="56"/>
        <v>0.0399893744251018-0.183634529007404i</v>
      </c>
      <c r="AE169" s="24" t="str">
        <f t="shared" si="57"/>
        <v>0.995128107542415-0.0753663654884381i</v>
      </c>
      <c r="AF169" s="24" t="str">
        <f t="shared" si="71"/>
        <v>0.177903844778841-1.27323084903497i</v>
      </c>
      <c r="AG169" s="24">
        <f t="shared" si="58"/>
        <v>1.285599693886633</v>
      </c>
      <c r="AH169" s="24">
        <f t="shared" si="72"/>
        <v>-1.4319688269131463</v>
      </c>
      <c r="AI169" s="24">
        <f t="shared" si="53"/>
        <v>-82.045770176422778</v>
      </c>
      <c r="AJ169" s="24">
        <f t="shared" si="73"/>
        <v>2.1821152069140703</v>
      </c>
      <c r="AL169" s="24" t="str">
        <f t="shared" si="74"/>
        <v>1.76586711397035E-06-0.00132885815483959i</v>
      </c>
      <c r="AM169" s="24" t="str">
        <f t="shared" si="75"/>
        <v>1.23453415106903+4.057449807821i</v>
      </c>
      <c r="AN169" s="24" t="str">
        <f t="shared" si="76"/>
        <v>-1.81328709689559+0.549085585934523i</v>
      </c>
      <c r="AO169" s="24">
        <f t="shared" si="59"/>
        <v>1.8945989223181501</v>
      </c>
      <c r="AP169" s="24">
        <f t="shared" si="60"/>
        <v>2.8475577940768693</v>
      </c>
      <c r="AQ169" s="24">
        <f t="shared" si="61"/>
        <v>163.15304352018737</v>
      </c>
      <c r="AR169" s="24">
        <f t="shared" si="62"/>
        <v>5.550345718695004</v>
      </c>
      <c r="AS169" s="24">
        <f t="shared" si="77"/>
        <v>7.7324609256090744</v>
      </c>
      <c r="AT169" s="24">
        <f t="shared" si="78"/>
        <v>81.107273343764589</v>
      </c>
    </row>
    <row r="170" spans="4:46">
      <c r="D170" s="13"/>
      <c r="R170" s="12"/>
      <c r="S170" s="12"/>
      <c r="T170" s="12"/>
      <c r="U170" s="12"/>
      <c r="V170" s="12"/>
      <c r="W170" s="12"/>
      <c r="X170" s="12"/>
      <c r="Y170" s="24">
        <v>168</v>
      </c>
      <c r="Z170" s="24">
        <f t="shared" si="54"/>
        <v>30735.129823066054</v>
      </c>
      <c r="AA170" s="24" t="str">
        <f t="shared" si="63"/>
        <v>193114.516118546i</v>
      </c>
      <c r="AB170" s="24">
        <f t="shared" si="55"/>
        <v>7.8571428571428568</v>
      </c>
      <c r="AD170" s="24" t="str">
        <f t="shared" si="56"/>
        <v>0.0360509774946645-0.173388487975729i</v>
      </c>
      <c r="AE170" s="24" t="str">
        <f t="shared" si="57"/>
        <v>0.994493186399754-0.0801050753271094i</v>
      </c>
      <c r="AF170" s="24" t="str">
        <f t="shared" si="71"/>
        <v>0.150544292816749-1.20172435925278i</v>
      </c>
      <c r="AG170" s="24">
        <f t="shared" si="58"/>
        <v>1.2111172609294278</v>
      </c>
      <c r="AH170" s="24">
        <f t="shared" si="72"/>
        <v>-1.4461719865020817</v>
      </c>
      <c r="AI170" s="24">
        <f t="shared" si="53"/>
        <v>-82.859551276619527</v>
      </c>
      <c r="AJ170" s="24">
        <f t="shared" si="73"/>
        <v>1.663723875399201</v>
      </c>
      <c r="AL170" s="24" t="str">
        <f t="shared" si="74"/>
        <v>1.56147084839507E-06-0.00124958729595169i</v>
      </c>
      <c r="AM170" s="24" t="str">
        <f t="shared" si="75"/>
        <v>1.26511911719773+4.31296563124915i</v>
      </c>
      <c r="AN170" s="24" t="str">
        <f t="shared" si="76"/>
        <v>-1.81242892798813+0.529179720520823i</v>
      </c>
      <c r="AO170" s="24">
        <f t="shared" si="59"/>
        <v>1.8881021676855039</v>
      </c>
      <c r="AP170" s="24">
        <f t="shared" si="60"/>
        <v>2.8575165512353937</v>
      </c>
      <c r="AQ170" s="24">
        <f t="shared" si="61"/>
        <v>163.72363827456653</v>
      </c>
      <c r="AR170" s="24">
        <f t="shared" si="62"/>
        <v>5.5205098168420488</v>
      </c>
      <c r="AS170" s="24">
        <f t="shared" si="77"/>
        <v>7.18423369224125</v>
      </c>
      <c r="AT170" s="24">
        <f t="shared" si="78"/>
        <v>80.864086997946998</v>
      </c>
    </row>
    <row r="171" spans="4:46">
      <c r="D171" s="13"/>
      <c r="R171" s="12"/>
      <c r="S171" s="12"/>
      <c r="T171" s="12"/>
      <c r="U171" s="12"/>
      <c r="V171" s="12"/>
      <c r="W171" s="12"/>
      <c r="X171" s="12"/>
      <c r="Y171" s="24">
        <v>169</v>
      </c>
      <c r="Z171" s="24">
        <f t="shared" si="54"/>
        <v>32684.900355380338</v>
      </c>
      <c r="AA171" s="24" t="str">
        <f t="shared" si="63"/>
        <v>205365.285679555i</v>
      </c>
      <c r="AB171" s="24">
        <f t="shared" si="55"/>
        <v>7.8571428571428568</v>
      </c>
      <c r="AD171" s="24" t="str">
        <f t="shared" si="56"/>
        <v>0.0325414261919395-0.163638864209574i</v>
      </c>
      <c r="AE171" s="24" t="str">
        <f t="shared" si="57"/>
        <v>0.993775933944986-0.0851358676565005i</v>
      </c>
      <c r="AF171" s="24" t="str">
        <f t="shared" si="71"/>
        <v>0.126171380828437-1.13365514995343i</v>
      </c>
      <c r="AG171" s="24">
        <f t="shared" si="58"/>
        <v>1.1406547314398376</v>
      </c>
      <c r="AH171" s="24">
        <f t="shared" si="72"/>
        <v>-1.4599563904398483</v>
      </c>
      <c r="AI171" s="24">
        <f t="shared" si="53"/>
        <v>-83.649339445357072</v>
      </c>
      <c r="AJ171" s="24">
        <f t="shared" si="73"/>
        <v>1.1430841254838875</v>
      </c>
      <c r="AL171" s="24" t="str">
        <f t="shared" si="74"/>
        <v>1.38073308767923E-06-0.00117504518264421i</v>
      </c>
      <c r="AM171" s="24" t="str">
        <f t="shared" si="75"/>
        <v>1.2996755583779+4.58431194710025i</v>
      </c>
      <c r="AN171" s="24" t="str">
        <f t="shared" si="76"/>
        <v>-1.81147610963314+0.511263726050804i</v>
      </c>
      <c r="AO171" s="24">
        <f t="shared" si="59"/>
        <v>1.8822423577602774</v>
      </c>
      <c r="AP171" s="24">
        <f t="shared" si="60"/>
        <v>2.8665117375249314</v>
      </c>
      <c r="AQ171" s="24">
        <f t="shared" si="61"/>
        <v>164.23902448489099</v>
      </c>
      <c r="AR171" s="24">
        <f t="shared" si="62"/>
        <v>5.493510850064335</v>
      </c>
      <c r="AS171" s="24">
        <f t="shared" si="77"/>
        <v>6.6365949755482223</v>
      </c>
      <c r="AT171" s="24">
        <f t="shared" si="78"/>
        <v>80.589685039533919</v>
      </c>
    </row>
    <row r="172" spans="4:46">
      <c r="D172" s="13"/>
      <c r="R172" s="12"/>
      <c r="S172" s="12"/>
      <c r="T172" s="12"/>
      <c r="U172" s="12"/>
      <c r="V172" s="12"/>
      <c r="W172" s="12"/>
      <c r="X172" s="12"/>
      <c r="Y172" s="24">
        <v>170</v>
      </c>
      <c r="Z172" s="24">
        <f t="shared" si="54"/>
        <v>34758.360136790499</v>
      </c>
      <c r="AA172" s="24" t="str">
        <f t="shared" si="63"/>
        <v>218393.217713139i</v>
      </c>
      <c r="AB172" s="24">
        <f t="shared" si="55"/>
        <v>7.8571428571428568</v>
      </c>
      <c r="AD172" s="24" t="str">
        <f t="shared" si="56"/>
        <v>0.0294167422405202-0.154374214537899i</v>
      </c>
      <c r="AE172" s="24" t="str">
        <f t="shared" si="57"/>
        <v>0.992965788830091-0.0904755624586084i</v>
      </c>
      <c r="AF172" s="24" t="str">
        <f t="shared" si="71"/>
        <v>0.104479769364434-1.06894275295007i</v>
      </c>
      <c r="AG172" s="24">
        <f t="shared" si="58"/>
        <v>1.074036606122398</v>
      </c>
      <c r="AH172" s="24">
        <f t="shared" si="72"/>
        <v>-1.4733645861434455</v>
      </c>
      <c r="AI172" s="24">
        <f t="shared" si="53"/>
        <v>-84.41757247005863</v>
      </c>
      <c r="AJ172" s="24">
        <f t="shared" si="73"/>
        <v>0.62038167133102018</v>
      </c>
      <c r="AL172" s="24" t="str">
        <f t="shared" si="74"/>
        <v>1.22091540901263E-06-0.0011049497356795i</v>
      </c>
      <c r="AM172" s="24" t="str">
        <f t="shared" si="75"/>
        <v>1.33871444837362+4.87241698170772i</v>
      </c>
      <c r="AN172" s="24" t="str">
        <f t="shared" si="76"/>
        <v>-1.81041453080582+0.495267259513974i</v>
      </c>
      <c r="AO172" s="24">
        <f t="shared" si="59"/>
        <v>1.8769364484977478</v>
      </c>
      <c r="AP172" s="24">
        <f t="shared" si="60"/>
        <v>2.8745604186108369</v>
      </c>
      <c r="AQ172" s="24">
        <f t="shared" si="61"/>
        <v>164.70017994176013</v>
      </c>
      <c r="AR172" s="24">
        <f t="shared" si="62"/>
        <v>5.4689913604290874</v>
      </c>
      <c r="AS172" s="24">
        <f t="shared" si="77"/>
        <v>6.0893730317601076</v>
      </c>
      <c r="AT172" s="24">
        <f t="shared" si="78"/>
        <v>80.282607471701496</v>
      </c>
    </row>
    <row r="173" spans="4:46">
      <c r="D173" s="13"/>
      <c r="R173" s="12"/>
      <c r="S173" s="12"/>
      <c r="T173" s="12"/>
      <c r="U173" s="12"/>
      <c r="V173" s="12"/>
      <c r="W173" s="12"/>
      <c r="X173" s="12"/>
      <c r="Y173" s="24">
        <v>171</v>
      </c>
      <c r="Z173" s="24">
        <f t="shared" si="54"/>
        <v>36963.355747234389</v>
      </c>
      <c r="AA173" s="24" t="str">
        <f t="shared" si="63"/>
        <v>232247.613735075i</v>
      </c>
      <c r="AB173" s="24">
        <f t="shared" si="55"/>
        <v>7.8571428571428568</v>
      </c>
      <c r="AD173" s="24" t="str">
        <f t="shared" si="56"/>
        <v>0.0266368729071599-0.145581014731257i</v>
      </c>
      <c r="AE173" s="24" t="str">
        <f t="shared" si="57"/>
        <v>0.992050866667151-0.096141707409417i</v>
      </c>
      <c r="AF173" s="24" t="str">
        <f t="shared" si="71"/>
        <v>0.0851914861758995-1.00749218723293i</v>
      </c>
      <c r="AG173" s="24">
        <f t="shared" si="58"/>
        <v>1.0110875810988145</v>
      </c>
      <c r="AH173" s="24">
        <f t="shared" si="72"/>
        <v>-1.4864390357088713</v>
      </c>
      <c r="AI173" s="24">
        <f t="shared" si="53"/>
        <v>-85.166683249614195</v>
      </c>
      <c r="AJ173" s="24">
        <f t="shared" si="73"/>
        <v>9.57755221174479E-2</v>
      </c>
      <c r="AL173" s="24" t="str">
        <f t="shared" si="74"/>
        <v>1.07959635478514E-06-0.00103903570162764i</v>
      </c>
      <c r="AM173" s="24" t="str">
        <f t="shared" si="75"/>
        <v>1.38281119400981+5.17825270827116i</v>
      </c>
      <c r="AN173" s="24" t="str">
        <f t="shared" si="76"/>
        <v>-1.8092285225344+0.481126733355932i</v>
      </c>
      <c r="AO173" s="24">
        <f t="shared" si="59"/>
        <v>1.8721086454321387</v>
      </c>
      <c r="AP173" s="24">
        <f t="shared" si="60"/>
        <v>2.8816788738767389</v>
      </c>
      <c r="AQ173" s="24">
        <f t="shared" si="61"/>
        <v>165.108037385149</v>
      </c>
      <c r="AR173" s="24">
        <f t="shared" si="62"/>
        <v>5.4466209771710083</v>
      </c>
      <c r="AS173" s="24">
        <f t="shared" si="77"/>
        <v>5.542396499288456</v>
      </c>
      <c r="AT173" s="24">
        <f t="shared" si="78"/>
        <v>79.941354135534809</v>
      </c>
    </row>
    <row r="174" spans="4:46">
      <c r="D174" s="13"/>
      <c r="R174" s="12"/>
      <c r="S174" s="12"/>
      <c r="T174" s="12"/>
      <c r="U174" s="12"/>
      <c r="V174" s="12"/>
      <c r="W174" s="12"/>
      <c r="X174" s="12"/>
      <c r="Y174" s="24">
        <v>172</v>
      </c>
      <c r="Z174" s="24">
        <f t="shared" si="54"/>
        <v>39308.231536804677</v>
      </c>
      <c r="AA174" s="24" t="str">
        <f t="shared" si="63"/>
        <v>246980.902843264i</v>
      </c>
      <c r="AB174" s="24">
        <f t="shared" si="55"/>
        <v>7.8571428571428568</v>
      </c>
      <c r="AD174" s="24" t="str">
        <f t="shared" si="56"/>
        <v>0.0241654700654036-0.137244174725896i</v>
      </c>
      <c r="AE174" s="24" t="str">
        <f t="shared" si="57"/>
        <v>0.991017803087114-0.102152557766046i</v>
      </c>
      <c r="AF174" s="24" t="str">
        <f t="shared" si="71"/>
        <v>0.0680543974251207-0.94919754303374i</v>
      </c>
      <c r="AG174" s="24">
        <f t="shared" si="58"/>
        <v>0.95163405608993679</v>
      </c>
      <c r="AH174" s="24">
        <f t="shared" si="72"/>
        <v>-1.4992220304708574</v>
      </c>
      <c r="AI174" s="24">
        <f t="shared" si="53"/>
        <v>-85.899094899013846</v>
      </c>
      <c r="AJ174" s="24">
        <f t="shared" si="73"/>
        <v>-0.43060048554787866</v>
      </c>
      <c r="AL174" s="24" t="str">
        <f t="shared" si="74"/>
        <v>9.54634745041698E-07-0.000977053649353095i</v>
      </c>
      <c r="AM174" s="24" t="str">
        <f t="shared" si="75"/>
        <v>1.432613397053+5.50283464988677i</v>
      </c>
      <c r="AN174" s="24" t="str">
        <f t="shared" si="76"/>
        <v>-1.80790064519022+0.468784974865666i</v>
      </c>
      <c r="AO174" s="24">
        <f t="shared" si="59"/>
        <v>1.8676895072626545</v>
      </c>
      <c r="AP174" s="24">
        <f t="shared" si="60"/>
        <v>2.8878822811894804</v>
      </c>
      <c r="AQ174" s="24">
        <f t="shared" si="61"/>
        <v>165.46346644276969</v>
      </c>
      <c r="AR174" s="24">
        <f t="shared" si="62"/>
        <v>5.4260935782400663</v>
      </c>
      <c r="AS174" s="24">
        <f t="shared" si="77"/>
        <v>4.9954930926921879</v>
      </c>
      <c r="AT174" s="24">
        <f t="shared" si="78"/>
        <v>79.56437154375584</v>
      </c>
    </row>
    <row r="175" spans="4:46">
      <c r="D175" s="13"/>
      <c r="R175" s="12"/>
      <c r="S175" s="12"/>
      <c r="T175" s="12"/>
      <c r="U175" s="12"/>
      <c r="V175" s="12"/>
      <c r="W175" s="12"/>
      <c r="X175" s="12"/>
      <c r="Y175" s="24">
        <v>173</v>
      </c>
      <c r="Z175" s="24">
        <f t="shared" si="54"/>
        <v>41801.861203217486</v>
      </c>
      <c r="AA175" s="24" t="str">
        <f t="shared" si="63"/>
        <v>262648.840124816i</v>
      </c>
      <c r="AB175" s="24">
        <f t="shared" si="55"/>
        <v>7.8571428571428568</v>
      </c>
      <c r="AD175" s="24" t="str">
        <f t="shared" si="56"/>
        <v>0.0219696499635748-0.129347475527039i</v>
      </c>
      <c r="AE175" s="24" t="str">
        <f t="shared" si="57"/>
        <v>0.989851580638878-0.108527042423417i</v>
      </c>
      <c r="AF175" s="24" t="str">
        <f t="shared" si="71"/>
        <v>0.0528405455030725-0.893945021843128i</v>
      </c>
      <c r="AG175" s="24">
        <f t="shared" si="58"/>
        <v>0.8955053463420376</v>
      </c>
      <c r="AH175" s="24">
        <f t="shared" si="72"/>
        <v>-1.5117556333648705</v>
      </c>
      <c r="AI175" s="24">
        <f t="shared" si="53"/>
        <v>-86.617217446933736</v>
      </c>
      <c r="AJ175" s="24">
        <f t="shared" si="73"/>
        <v>-0.95863633968449369</v>
      </c>
      <c r="AL175" s="24" t="str">
        <f t="shared" si="74"/>
        <v>8.44137236310546E-07-0.000918769026329726i</v>
      </c>
      <c r="AM175" s="24" t="str">
        <f t="shared" si="75"/>
        <v>1.48884944981843+5.8472211014949i</v>
      </c>
      <c r="AN175" s="24" t="str">
        <f t="shared" si="76"/>
        <v>-1.80641145566715+0.458190890560599i</v>
      </c>
      <c r="AO175" s="24">
        <f t="shared" si="59"/>
        <v>1.8636150995734679</v>
      </c>
      <c r="AP175" s="24">
        <f t="shared" si="60"/>
        <v>2.8931844533393218</v>
      </c>
      <c r="AQ175" s="24">
        <f t="shared" si="61"/>
        <v>165.7672585292074</v>
      </c>
      <c r="AR175" s="24">
        <f t="shared" si="62"/>
        <v>5.4071244115149746</v>
      </c>
      <c r="AS175" s="24">
        <f t="shared" si="77"/>
        <v>4.4484880718304805</v>
      </c>
      <c r="AT175" s="24">
        <f t="shared" si="78"/>
        <v>79.15004108227366</v>
      </c>
    </row>
    <row r="176" spans="4:46">
      <c r="D176" s="13"/>
      <c r="R176" s="12"/>
      <c r="S176" s="12"/>
      <c r="T176" s="12"/>
      <c r="U176" s="12"/>
      <c r="V176" s="12"/>
      <c r="W176" s="12"/>
      <c r="X176" s="12"/>
      <c r="Y176" s="24">
        <v>174</v>
      </c>
      <c r="Z176" s="24">
        <f t="shared" si="54"/>
        <v>44453.681372487059</v>
      </c>
      <c r="AA176" s="24" t="str">
        <f t="shared" si="63"/>
        <v>279310.717649654i</v>
      </c>
      <c r="AB176" s="24">
        <f t="shared" si="55"/>
        <v>7.8571428571428568</v>
      </c>
      <c r="AD176" s="24" t="str">
        <f t="shared" si="56"/>
        <v>0.0200197439705469-0.121873936113119i</v>
      </c>
      <c r="AE176" s="24" t="str">
        <f t="shared" si="57"/>
        <v>0.98853533857193-0.115284713024034i</v>
      </c>
      <c r="AF176" s="24" t="str">
        <f t="shared" si="71"/>
        <v>0.0393444249531124-0.841615490409655i</v>
      </c>
      <c r="AG176" s="24">
        <f t="shared" si="58"/>
        <v>0.84253463873740841</v>
      </c>
      <c r="AH176" s="24">
        <f t="shared" si="72"/>
        <v>-1.5240816437908173</v>
      </c>
      <c r="AI176" s="24">
        <f t="shared" si="53"/>
        <v>-87.32344582257474</v>
      </c>
      <c r="AJ176" s="24">
        <f t="shared" si="73"/>
        <v>-1.4882447028232551</v>
      </c>
      <c r="AL176" s="24" t="str">
        <f t="shared" si="74"/>
        <v>7.46429635327374E-07-0.000863961271221213i</v>
      </c>
      <c r="AM176" s="24" t="str">
        <f t="shared" si="75"/>
        <v>1.55233802508634+6.21251163045613i</v>
      </c>
      <c r="AN176" s="24" t="str">
        <f t="shared" si="76"/>
        <v>-1.80473925272205+0.449299130755314i</v>
      </c>
      <c r="AO176" s="24">
        <f t="shared" si="59"/>
        <v>1.8598261959691889</v>
      </c>
      <c r="AP176" s="24">
        <f t="shared" si="60"/>
        <v>2.8975976205254708</v>
      </c>
      <c r="AQ176" s="24">
        <f t="shared" si="61"/>
        <v>166.02011438325937</v>
      </c>
      <c r="AR176" s="24">
        <f t="shared" si="62"/>
        <v>5.3894472106123805</v>
      </c>
      <c r="AS176" s="24">
        <f t="shared" si="77"/>
        <v>3.9012025077891255</v>
      </c>
      <c r="AT176" s="24">
        <f t="shared" si="78"/>
        <v>78.696668560684628</v>
      </c>
    </row>
    <row r="177" spans="4:46">
      <c r="D177" s="13"/>
      <c r="R177" s="12"/>
      <c r="S177" s="12"/>
      <c r="T177" s="12"/>
      <c r="U177" s="12"/>
      <c r="V177" s="12"/>
      <c r="W177" s="12"/>
      <c r="X177" s="12"/>
      <c r="Y177" s="24">
        <v>175</v>
      </c>
      <c r="Z177" s="24">
        <f t="shared" si="54"/>
        <v>47273.727309885995</v>
      </c>
      <c r="AA177" s="24" t="str">
        <f t="shared" si="63"/>
        <v>297029.58884909i</v>
      </c>
      <c r="AB177" s="24">
        <f t="shared" si="55"/>
        <v>7.8571428571428568</v>
      </c>
      <c r="AD177" s="24" t="str">
        <f t="shared" si="56"/>
        <v>0.0182890481244564-0.114806118550014i</v>
      </c>
      <c r="AE177" s="24" t="str">
        <f t="shared" si="57"/>
        <v>0.987050164716042-0.122445672457537i</v>
      </c>
      <c r="AF177" s="24" t="str">
        <f t="shared" si="71"/>
        <v>0.0273812509643933-0.792086605992046i</v>
      </c>
      <c r="AG177" s="24">
        <f t="shared" si="58"/>
        <v>0.79255972916643547</v>
      </c>
      <c r="AH177" s="24">
        <f t="shared" si="72"/>
        <v>-1.536241580037077</v>
      </c>
      <c r="AI177" s="24">
        <f t="shared" si="53"/>
        <v>-88.020158848633571</v>
      </c>
      <c r="AJ177" s="24">
        <f t="shared" si="73"/>
        <v>-2.019359968452406</v>
      </c>
      <c r="AL177" s="24" t="str">
        <f t="shared" si="74"/>
        <v>6.60031533058463E-07-0.000812422979375177i</v>
      </c>
      <c r="AM177" s="24" t="str">
        <f t="shared" si="75"/>
        <v>1.62399851629469+6.59984468967605i</v>
      </c>
      <c r="AN177" s="24" t="str">
        <f t="shared" si="76"/>
        <v>-1.80285979888513+0.442069748904432i</v>
      </c>
      <c r="AO177" s="24">
        <f t="shared" si="59"/>
        <v>1.8562675231045118</v>
      </c>
      <c r="AP177" s="24">
        <f t="shared" si="60"/>
        <v>2.9011322536803834</v>
      </c>
      <c r="AQ177" s="24">
        <f t="shared" si="61"/>
        <v>166.22263394516287</v>
      </c>
      <c r="AR177" s="24">
        <f t="shared" si="62"/>
        <v>5.3728113281259553</v>
      </c>
      <c r="AS177" s="24">
        <f t="shared" si="77"/>
        <v>3.3534513596735493</v>
      </c>
      <c r="AT177" s="24">
        <f t="shared" si="78"/>
        <v>78.202475096529298</v>
      </c>
    </row>
    <row r="178" spans="4:46">
      <c r="D178" s="13"/>
      <c r="R178" s="12"/>
      <c r="S178" s="12"/>
      <c r="T178" s="12"/>
      <c r="U178" s="12"/>
      <c r="V178" s="12"/>
      <c r="W178" s="12"/>
      <c r="X178" s="12"/>
      <c r="Y178" s="24">
        <v>176</v>
      </c>
      <c r="Z178" s="24">
        <f t="shared" si="54"/>
        <v>50272.670896332245</v>
      </c>
      <c r="AA178" s="24" t="str">
        <f t="shared" si="63"/>
        <v>315872.50712851i</v>
      </c>
      <c r="AB178" s="24">
        <f t="shared" si="55"/>
        <v>7.8571428571428568</v>
      </c>
      <c r="AD178" s="24" t="str">
        <f t="shared" si="56"/>
        <v>0.0167535772830323-0.108126379140505i</v>
      </c>
      <c r="AE178" s="24" t="str">
        <f t="shared" si="57"/>
        <v>0.985374868934556-0.130030478469061i</v>
      </c>
      <c r="AF178" s="24" t="str">
        <f t="shared" si="71"/>
        <v>0.016785260792135-0.745234567496861i</v>
      </c>
      <c r="AG178" s="24">
        <f t="shared" si="58"/>
        <v>0.74542357460177866</v>
      </c>
      <c r="AH178" s="24">
        <f t="shared" si="72"/>
        <v>-1.5482766746407421</v>
      </c>
      <c r="AI178" s="24">
        <f t="shared" si="53"/>
        <v>-88.709718975464256</v>
      </c>
      <c r="AJ178" s="24">
        <f t="shared" si="73"/>
        <v>-2.5519375292672368</v>
      </c>
      <c r="AL178" s="24" t="str">
        <f t="shared" si="74"/>
        <v>5.83633874723927E-07-0.000763959118078597i</v>
      </c>
      <c r="AM178" s="24" t="str">
        <f t="shared" si="75"/>
        <v>1.70486247568384+7.01039414772035i</v>
      </c>
      <c r="AN178" s="24" t="str">
        <f t="shared" si="76"/>
        <v>-1.80074601758085+0.436467849615517i</v>
      </c>
      <c r="AO178" s="24">
        <f t="shared" si="59"/>
        <v>1.8528870455538524</v>
      </c>
      <c r="AP178" s="24">
        <f t="shared" si="60"/>
        <v>2.9037969239962687</v>
      </c>
      <c r="AQ178" s="24">
        <f t="shared" si="61"/>
        <v>166.37530830805687</v>
      </c>
      <c r="AR178" s="24">
        <f t="shared" si="62"/>
        <v>5.3569788991908833</v>
      </c>
      <c r="AS178" s="24">
        <f t="shared" si="77"/>
        <v>2.8050413699236465</v>
      </c>
      <c r="AT178" s="24">
        <f t="shared" si="78"/>
        <v>77.665589332592617</v>
      </c>
    </row>
    <row r="179" spans="4:46">
      <c r="D179" s="13"/>
      <c r="R179" s="12"/>
      <c r="S179" s="12"/>
      <c r="T179" s="12"/>
      <c r="U179" s="12"/>
      <c r="V179" s="12"/>
      <c r="W179" s="12"/>
      <c r="X179" s="12"/>
      <c r="Y179" s="24">
        <v>177</v>
      </c>
      <c r="Z179" s="24">
        <f t="shared" si="54"/>
        <v>53461.861013916772</v>
      </c>
      <c r="AA179" s="24" t="str">
        <f t="shared" si="63"/>
        <v>335910.779617119i</v>
      </c>
      <c r="AB179" s="24">
        <f t="shared" si="55"/>
        <v>7.8571428571428568</v>
      </c>
      <c r="AD179" s="24" t="str">
        <f t="shared" si="56"/>
        <v>0.0153918280265929-0.101817072882465i</v>
      </c>
      <c r="AE179" s="24" t="str">
        <f t="shared" si="57"/>
        <v>0.983485738010733-0.138060017406466i</v>
      </c>
      <c r="AF179" s="24" t="str">
        <f t="shared" si="71"/>
        <v>0.00740807698448842-0.700935543330598i</v>
      </c>
      <c r="AG179" s="24">
        <f t="shared" si="58"/>
        <v>0.70097468963491738</v>
      </c>
      <c r="AH179" s="24">
        <f t="shared" si="72"/>
        <v>-1.5602278783191126</v>
      </c>
      <c r="AI179" s="24">
        <f t="shared" si="53"/>
        <v>-89.394472506336115</v>
      </c>
      <c r="AJ179" s="24">
        <f t="shared" si="73"/>
        <v>-3.0859532597919874</v>
      </c>
      <c r="AL179" s="24" t="str">
        <f t="shared" si="74"/>
        <v>5.16079125999797E-07-0.0007183862886095i</v>
      </c>
      <c r="AM179" s="24" t="str">
        <f t="shared" si="75"/>
        <v>1.79608608494125+7.4453645069895i</v>
      </c>
      <c r="AN179" s="24" t="str">
        <f t="shared" si="76"/>
        <v>-1.79836766445355+0.432463218428728i</v>
      </c>
      <c r="AO179" s="24">
        <f t="shared" si="59"/>
        <v>1.8496352861701817</v>
      </c>
      <c r="AP179" s="24">
        <f t="shared" si="60"/>
        <v>2.9055981946835523</v>
      </c>
      <c r="AQ179" s="24">
        <f t="shared" si="61"/>
        <v>166.47851351619886</v>
      </c>
      <c r="AR179" s="24">
        <f t="shared" si="62"/>
        <v>5.3417220402890209</v>
      </c>
      <c r="AS179" s="24">
        <f t="shared" si="77"/>
        <v>2.2557687804970334</v>
      </c>
      <c r="AT179" s="24">
        <f t="shared" si="78"/>
        <v>77.084041009862744</v>
      </c>
    </row>
    <row r="180" spans="4:46">
      <c r="D180" s="13"/>
      <c r="R180" s="12"/>
      <c r="S180" s="12"/>
      <c r="T180" s="12"/>
      <c r="U180" s="12"/>
      <c r="V180" s="12"/>
      <c r="W180" s="12"/>
      <c r="X180" s="12"/>
      <c r="Y180" s="24">
        <v>178</v>
      </c>
      <c r="Z180" s="24">
        <f t="shared" si="54"/>
        <v>56853.366493401947</v>
      </c>
      <c r="AA180" s="24" t="str">
        <f t="shared" si="63"/>
        <v>357220.237015039i</v>
      </c>
      <c r="AB180" s="24">
        <f t="shared" si="55"/>
        <v>7.8571428571428568</v>
      </c>
      <c r="AD180" s="24" t="str">
        <f t="shared" si="56"/>
        <v>0.0141845531477545-0.0958607178662264i</v>
      </c>
      <c r="AE180" s="24" t="str">
        <f t="shared" si="57"/>
        <v>0.981356272361953-0.146555342379596i</v>
      </c>
      <c r="AF180" s="24" t="str">
        <f t="shared" si="71"/>
        <v>-0.000882847889679128-0.659066822359927i</v>
      </c>
      <c r="AG180" s="24">
        <f t="shared" si="58"/>
        <v>0.65906741366570987</v>
      </c>
      <c r="AH180" s="24">
        <f t="shared" si="72"/>
        <v>-1.5721358682976314</v>
      </c>
      <c r="AI180" s="24">
        <f t="shared" si="53"/>
        <v>-90.076750074589313</v>
      </c>
      <c r="AJ180" s="24">
        <f t="shared" si="73"/>
        <v>-3.6214032138669401</v>
      </c>
      <c r="AL180" s="24" t="str">
        <f t="shared" si="74"/>
        <v>4.56343734907619E-07-0.000675532032296037i</v>
      </c>
      <c r="AM180" s="24" t="str">
        <f t="shared" si="75"/>
        <v>1.89896367350629+7.90598454368239i</v>
      </c>
      <c r="AN180" s="24" t="str">
        <f t="shared" si="76"/>
        <v>-1.79569097240567+0.430029925554536i</v>
      </c>
      <c r="AO180" s="24">
        <f t="shared" si="59"/>
        <v>1.8464646774990472</v>
      </c>
      <c r="AP180" s="24">
        <f t="shared" si="60"/>
        <v>2.9065405417175323</v>
      </c>
      <c r="AQ180" s="24">
        <f t="shared" si="61"/>
        <v>166.53250602408258</v>
      </c>
      <c r="AR180" s="24">
        <f t="shared" si="62"/>
        <v>5.3268200819930893</v>
      </c>
      <c r="AS180" s="24">
        <f t="shared" si="77"/>
        <v>1.7054168681261492</v>
      </c>
      <c r="AT180" s="24">
        <f t="shared" si="78"/>
        <v>76.455755949493266</v>
      </c>
    </row>
    <row r="181" spans="4:46">
      <c r="D181" s="13"/>
      <c r="R181" s="12"/>
      <c r="S181" s="12"/>
      <c r="T181" s="12"/>
      <c r="U181" s="12"/>
      <c r="V181" s="12"/>
      <c r="W181" s="12"/>
      <c r="X181" s="12"/>
      <c r="Y181" s="24">
        <v>179</v>
      </c>
      <c r="Z181" s="24">
        <f t="shared" si="54"/>
        <v>60460.02178621637</v>
      </c>
      <c r="AA181" s="24" t="str">
        <f t="shared" si="63"/>
        <v>379881.520558912i</v>
      </c>
      <c r="AB181" s="24">
        <f t="shared" si="55"/>
        <v>7.8571428571428568</v>
      </c>
      <c r="AD181" s="24" t="str">
        <f t="shared" si="56"/>
        <v>0.0131145495268413-0.0902401255626634i</v>
      </c>
      <c r="AE181" s="24" t="str">
        <f t="shared" si="57"/>
        <v>0.978956905703275-0.155537469289005i</v>
      </c>
      <c r="AF181" s="24" t="str">
        <f t="shared" si="71"/>
        <v>-0.00820569255153374-0.619507729692058i</v>
      </c>
      <c r="AG181" s="24">
        <f t="shared" si="58"/>
        <v>0.61956207157835153</v>
      </c>
      <c r="AH181" s="24">
        <f t="shared" si="72"/>
        <v>-1.5840410569743477</v>
      </c>
      <c r="AI181" s="24">
        <f t="shared" si="53"/>
        <v>-90.758867140072098</v>
      </c>
      <c r="AJ181" s="24">
        <f t="shared" si="73"/>
        <v>-4.1583035357651701</v>
      </c>
      <c r="AL181" s="24" t="str">
        <f t="shared" si="74"/>
        <v>4.03522623679262E-07-0.000635234177960187i</v>
      </c>
      <c r="AM181" s="24" t="str">
        <f t="shared" si="75"/>
        <v>2.01494227231375+8.39349906209535i</v>
      </c>
      <c r="AN181" s="24" t="str">
        <f t="shared" si="76"/>
        <v>-1.79267827057553+0.42914589475293i</v>
      </c>
      <c r="AO181" s="24">
        <f t="shared" si="59"/>
        <v>1.8433289399282393</v>
      </c>
      <c r="AP181" s="24">
        <f t="shared" si="60"/>
        <v>2.906626301091038</v>
      </c>
      <c r="AQ181" s="24">
        <f t="shared" si="61"/>
        <v>166.53741967423815</v>
      </c>
      <c r="AR181" s="24">
        <f t="shared" si="62"/>
        <v>5.3120568297058206</v>
      </c>
      <c r="AS181" s="24">
        <f t="shared" si="77"/>
        <v>1.1537532939406505</v>
      </c>
      <c r="AT181" s="24">
        <f t="shared" si="78"/>
        <v>75.778552534166053</v>
      </c>
    </row>
    <row r="182" spans="4:46">
      <c r="D182" s="13"/>
      <c r="R182" s="12"/>
      <c r="S182" s="12"/>
      <c r="T182" s="12"/>
      <c r="U182" s="12"/>
      <c r="V182" s="12"/>
      <c r="W182" s="12"/>
      <c r="X182" s="12"/>
      <c r="Y182" s="24">
        <v>180</v>
      </c>
      <c r="Z182" s="24">
        <f t="shared" si="54"/>
        <v>64295.47553378361</v>
      </c>
      <c r="AA182" s="24" t="str">
        <f t="shared" si="63"/>
        <v>403980.387191994i</v>
      </c>
      <c r="AB182" s="24">
        <f t="shared" si="55"/>
        <v>7.8571428571428568</v>
      </c>
      <c r="AD182" s="24" t="str">
        <f t="shared" si="56"/>
        <v>0.0121664603927895-0.0849385022770372i</v>
      </c>
      <c r="AE182" s="24" t="str">
        <f t="shared" si="57"/>
        <v>0.976254709745329-0.165027123324775i</v>
      </c>
      <c r="AF182" s="24" t="str">
        <f t="shared" si="71"/>
        <v>-0.0146656275059411-0.582140344324451i</v>
      </c>
      <c r="AG182" s="24">
        <f t="shared" si="58"/>
        <v>0.58232504764979287</v>
      </c>
      <c r="AH182" s="24">
        <f t="shared" si="72"/>
        <v>-1.5959835968979277</v>
      </c>
      <c r="AI182" s="24">
        <f t="shared" si="53"/>
        <v>-91.443124274359718</v>
      </c>
      <c r="AJ182" s="24">
        <f t="shared" si="73"/>
        <v>-4.6966905821040843</v>
      </c>
      <c r="AL182" s="24" t="str">
        <f t="shared" si="74"/>
        <v>3.56815475637933E-07-0.000597340228279202i</v>
      </c>
      <c r="AM182" s="24" t="str">
        <f t="shared" si="75"/>
        <v>2.14563715330882+8.90915841120777i</v>
      </c>
      <c r="AN182" s="24" t="str">
        <f t="shared" si="76"/>
        <v>-1.78928757845855+0.429792427437864i</v>
      </c>
      <c r="AO182" s="24">
        <f t="shared" si="59"/>
        <v>1.8401824825568234</v>
      </c>
      <c r="AP182" s="24">
        <f t="shared" si="60"/>
        <v>2.9058556408714575</v>
      </c>
      <c r="AQ182" s="24">
        <f t="shared" si="61"/>
        <v>166.49326409621756</v>
      </c>
      <c r="AR182" s="24">
        <f t="shared" si="62"/>
        <v>5.2972178432108654</v>
      </c>
      <c r="AS182" s="24">
        <f t="shared" si="77"/>
        <v>0.60052726110678112</v>
      </c>
      <c r="AT182" s="24">
        <f t="shared" si="78"/>
        <v>75.05013982185784</v>
      </c>
    </row>
    <row r="183" spans="4:46">
      <c r="D183" s="13"/>
      <c r="R183" s="12"/>
      <c r="S183" s="12"/>
      <c r="T183" s="12"/>
      <c r="U183" s="12"/>
      <c r="V183" s="12"/>
      <c r="W183" s="12"/>
      <c r="X183" s="12"/>
      <c r="Y183" s="24">
        <v>181</v>
      </c>
      <c r="Z183" s="24">
        <f t="shared" si="54"/>
        <v>68374.242217984312</v>
      </c>
      <c r="AA183" s="24" t="str">
        <f t="shared" si="63"/>
        <v>429608.034093577i</v>
      </c>
      <c r="AB183" s="24">
        <f t="shared" si="55"/>
        <v>7.8571428571428568</v>
      </c>
      <c r="AD183" s="24" t="str">
        <f t="shared" si="56"/>
        <v>0.0113265923641949-0.0799395263951069i</v>
      </c>
      <c r="AE183" s="24" t="str">
        <f t="shared" si="57"/>
        <v>0.973213087263906-0.175044427667376i</v>
      </c>
      <c r="AF183" s="24" t="str">
        <f t="shared" si="71"/>
        <v>-0.0203560721318803-0.546850051245267i</v>
      </c>
      <c r="AG183" s="24">
        <f t="shared" si="58"/>
        <v>0.54722878964797661</v>
      </c>
      <c r="AH183" s="24">
        <f t="shared" si="72"/>
        <v>-1.6080033779957772</v>
      </c>
      <c r="AI183" s="24">
        <f t="shared" si="53"/>
        <v>-92.131807001937631</v>
      </c>
      <c r="AJ183" s="24">
        <f t="shared" si="73"/>
        <v>-5.2366212500149878</v>
      </c>
      <c r="AL183" s="24" t="str">
        <f t="shared" si="74"/>
        <v>3.15514609331074E-07-0.000561706782744882i</v>
      </c>
      <c r="AM183" s="24" t="str">
        <f t="shared" si="75"/>
        <v>2.2928482551218+9.45420536435391i</v>
      </c>
      <c r="AN183" s="24" t="str">
        <f t="shared" si="76"/>
        <v>-1.78547217767501+0.431953670922444i</v>
      </c>
      <c r="AO183" s="24">
        <f t="shared" si="59"/>
        <v>1.8369798232628789</v>
      </c>
      <c r="AP183" s="24">
        <f t="shared" si="60"/>
        <v>2.904226557150047</v>
      </c>
      <c r="AQ183" s="24">
        <f t="shared" si="61"/>
        <v>166.39992447450726</v>
      </c>
      <c r="AR183" s="24">
        <f t="shared" si="62"/>
        <v>5.2820877238982309</v>
      </c>
      <c r="AS183" s="24">
        <f t="shared" si="77"/>
        <v>4.5466473883243097E-2</v>
      </c>
      <c r="AT183" s="24">
        <f t="shared" si="78"/>
        <v>74.268117472569628</v>
      </c>
    </row>
    <row r="184" spans="4:46">
      <c r="D184" s="13"/>
      <c r="R184" s="12"/>
      <c r="S184" s="12"/>
      <c r="T184" s="12"/>
      <c r="U184" s="12"/>
      <c r="V184" s="12"/>
      <c r="W184" s="12"/>
      <c r="X184" s="12"/>
      <c r="Y184" s="24">
        <v>182</v>
      </c>
      <c r="Z184" s="24">
        <f t="shared" si="54"/>
        <v>72711.757088212587</v>
      </c>
      <c r="AA184" s="24" t="str">
        <f t="shared" si="63"/>
        <v>456861.443795868i</v>
      </c>
      <c r="AB184" s="24">
        <f t="shared" si="55"/>
        <v>7.8571428571428568</v>
      </c>
      <c r="AD184" s="24" t="str">
        <f t="shared" si="56"/>
        <v>0.0105827472172714-0.0752274054430113i</v>
      </c>
      <c r="AE184" s="24" t="str">
        <f t="shared" si="57"/>
        <v>0.969791458477697-0.185608525286662i</v>
      </c>
      <c r="AF184" s="24" t="str">
        <f t="shared" si="71"/>
        <v>-0.0253598489759808-0.513525956399422i</v>
      </c>
      <c r="AG184" s="24">
        <f t="shared" si="58"/>
        <v>0.51415175759305298</v>
      </c>
      <c r="AH184" s="24">
        <f t="shared" si="72"/>
        <v>-1.620140012874584</v>
      </c>
      <c r="AI184" s="24">
        <f t="shared" si="53"/>
        <v>-92.827184957984528</v>
      </c>
      <c r="AJ184" s="24">
        <f t="shared" si="73"/>
        <v>-5.7781735050116012</v>
      </c>
      <c r="AL184" s="24" t="str">
        <f t="shared" si="74"/>
        <v>2.78994256197724E-07-0.000528198995038734i</v>
      </c>
      <c r="AM184" s="24" t="str">
        <f t="shared" si="75"/>
        <v>2.45857733004541+10.0298589145349i</v>
      </c>
      <c r="AN184" s="24" t="str">
        <f t="shared" si="76"/>
        <v>-1.78118016557999+0.435616018520265i</v>
      </c>
      <c r="AO184" s="24">
        <f t="shared" si="59"/>
        <v>1.8336750251467699</v>
      </c>
      <c r="AP184" s="24">
        <f t="shared" si="60"/>
        <v>2.9017348937648548</v>
      </c>
      <c r="AQ184" s="24">
        <f t="shared" si="61"/>
        <v>166.25716267856848</v>
      </c>
      <c r="AR184" s="24">
        <f t="shared" si="62"/>
        <v>5.2664473977689035</v>
      </c>
      <c r="AS184" s="24">
        <f t="shared" si="77"/>
        <v>-0.51172610724269774</v>
      </c>
      <c r="AT184" s="24">
        <f t="shared" si="78"/>
        <v>73.429977720583949</v>
      </c>
    </row>
    <row r="185" spans="4:46">
      <c r="D185" s="13"/>
      <c r="R185" s="12"/>
      <c r="S185" s="12"/>
      <c r="T185" s="12"/>
      <c r="U185" s="12"/>
      <c r="V185" s="12"/>
      <c r="W185" s="12"/>
      <c r="X185" s="12"/>
      <c r="Y185" s="24">
        <v>183</v>
      </c>
      <c r="Z185" s="24">
        <f t="shared" si="54"/>
        <v>77324.434572886516</v>
      </c>
      <c r="AA185" s="24" t="str">
        <f t="shared" si="63"/>
        <v>485843.75119433i</v>
      </c>
      <c r="AB185" s="24">
        <f t="shared" si="55"/>
        <v>7.8571428571428568</v>
      </c>
      <c r="AD185" s="24" t="str">
        <f t="shared" si="56"/>
        <v>0.00992406800529345-0.0707869164295976i</v>
      </c>
      <c r="AE185" s="24" t="str">
        <f t="shared" si="57"/>
        <v>0.965944947678404-0.196737123997287i</v>
      </c>
      <c r="AF185" s="24" t="str">
        <f t="shared" si="71"/>
        <v>-0.0297502381939206-0.482061189126792i</v>
      </c>
      <c r="AG185" s="24">
        <f t="shared" si="58"/>
        <v>0.48297832946720476</v>
      </c>
      <c r="AH185" s="24">
        <f t="shared" si="72"/>
        <v>-1.6324328058347319</v>
      </c>
      <c r="AI185" s="24">
        <f t="shared" si="53"/>
        <v>-93.531510113029128</v>
      </c>
      <c r="AJ185" s="24">
        <f t="shared" si="73"/>
        <v>-6.3214470994189265</v>
      </c>
      <c r="AL185" s="24" t="str">
        <f t="shared" si="74"/>
        <v>2.46701079317093E-07-0.000496690062771212i</v>
      </c>
      <c r="AM185" s="24" t="str">
        <f t="shared" si="75"/>
        <v>2.64504556378035+10.6372944908489i</v>
      </c>
      <c r="AN185" s="24" t="str">
        <f t="shared" si="76"/>
        <v>-1.77635399707962+0.440767428046446i</v>
      </c>
      <c r="AO185" s="24">
        <f t="shared" si="59"/>
        <v>1.8302211474484229</v>
      </c>
      <c r="AP185" s="24">
        <f t="shared" si="60"/>
        <v>2.8983743864721729</v>
      </c>
      <c r="AQ185" s="24">
        <f t="shared" si="61"/>
        <v>166.06461979367486</v>
      </c>
      <c r="AR185" s="24">
        <f t="shared" si="62"/>
        <v>5.2500713827376657</v>
      </c>
      <c r="AS185" s="24">
        <f t="shared" si="77"/>
        <v>-1.0713757166812607</v>
      </c>
      <c r="AT185" s="24">
        <f t="shared" si="78"/>
        <v>72.533109680645737</v>
      </c>
    </row>
    <row r="186" spans="4:46">
      <c r="D186" s="13"/>
      <c r="R186" s="12"/>
      <c r="S186" s="12"/>
      <c r="T186" s="12"/>
      <c r="U186" s="12"/>
      <c r="V186" s="12"/>
      <c r="W186" s="12"/>
      <c r="X186" s="12"/>
      <c r="Y186" s="24">
        <v>184</v>
      </c>
      <c r="Z186" s="24">
        <f t="shared" si="54"/>
        <v>82229.730396460247</v>
      </c>
      <c r="AA186" s="24" t="str">
        <f t="shared" si="63"/>
        <v>516664.633840378i</v>
      </c>
      <c r="AB186" s="24">
        <f t="shared" si="55"/>
        <v>7.8571428571428568</v>
      </c>
      <c r="AD186" s="24" t="str">
        <f t="shared" si="56"/>
        <v>0.00934089893096408-0.066603432442717i</v>
      </c>
      <c r="AE186" s="24" t="str">
        <f t="shared" si="57"/>
        <v>0.961624079536121-0.208445954380045i</v>
      </c>
      <c r="AF186" s="24" t="str">
        <f t="shared" si="71"/>
        <v>-0.0335919367567533-0.45235311324871i</v>
      </c>
      <c r="AG186" s="24">
        <f t="shared" si="58"/>
        <v>0.45359867424946249</v>
      </c>
      <c r="AH186" s="24">
        <f t="shared" si="72"/>
        <v>-1.6449207010041365</v>
      </c>
      <c r="AI186" s="24">
        <f t="shared" si="53"/>
        <v>-94.247013801237813</v>
      </c>
      <c r="AJ186" s="24">
        <f t="shared" si="73"/>
        <v>-6.866564468854329</v>
      </c>
      <c r="AL186" s="24" t="str">
        <f t="shared" si="74"/>
        <v>2.1814578958784E-07-0.000467060747655221i</v>
      </c>
      <c r="AM186" s="24" t="str">
        <f t="shared" si="75"/>
        <v>2.85471131392145+11.2776200589445i</v>
      </c>
      <c r="AN186" s="24" t="str">
        <f t="shared" si="76"/>
        <v>-1.77093002374768+0.447396644203046i</v>
      </c>
      <c r="AO186" s="24">
        <f t="shared" si="59"/>
        <v>1.8265697102095793</v>
      </c>
      <c r="AP186" s="24">
        <f t="shared" si="60"/>
        <v>2.8941367330326302</v>
      </c>
      <c r="AQ186" s="24">
        <f t="shared" si="61"/>
        <v>165.82182013654997</v>
      </c>
      <c r="AR186" s="24">
        <f t="shared" si="62"/>
        <v>5.2327250303469803</v>
      </c>
      <c r="AS186" s="24">
        <f t="shared" si="77"/>
        <v>-1.6338394385073487</v>
      </c>
      <c r="AT186" s="24">
        <f t="shared" si="78"/>
        <v>71.574806335312161</v>
      </c>
    </row>
    <row r="187" spans="4:46">
      <c r="D187" s="13"/>
      <c r="R187" s="12"/>
      <c r="S187" s="12"/>
      <c r="T187" s="12"/>
      <c r="U187" s="12"/>
      <c r="V187" s="12"/>
      <c r="W187" s="12"/>
      <c r="X187" s="12"/>
      <c r="Y187" s="24">
        <v>185</v>
      </c>
      <c r="Z187" s="24">
        <f t="shared" si="54"/>
        <v>87446.207637003507</v>
      </c>
      <c r="AA187" s="24" t="str">
        <f t="shared" si="63"/>
        <v>549440.726993396i</v>
      </c>
      <c r="AB187" s="24">
        <f t="shared" si="55"/>
        <v>7.8571428571428568</v>
      </c>
      <c r="AD187" s="24" t="str">
        <f t="shared" si="56"/>
        <v>0.00882465822705019-0.0626629380296538i</v>
      </c>
      <c r="AE187" s="24" t="str">
        <f t="shared" si="57"/>
        <v>0.956774497510211-0.220748129942252i</v>
      </c>
      <c r="AF187" s="24" t="str">
        <f t="shared" si="71"/>
        <v>-0.0369419282016372-0.424303464921572i</v>
      </c>
      <c r="AG187" s="24">
        <f t="shared" si="58"/>
        <v>0.42590860099756916</v>
      </c>
      <c r="AH187" s="24">
        <f t="shared" si="72"/>
        <v>-1.6576422047228097</v>
      </c>
      <c r="AI187" s="24">
        <f t="shared" si="53"/>
        <v>-94.97590227337777</v>
      </c>
      <c r="AJ187" s="24">
        <f t="shared" si="73"/>
        <v>-7.413671789834436</v>
      </c>
      <c r="AL187" s="24" t="str">
        <f t="shared" si="74"/>
        <v>1.92895732314364E-07-0.000439198924299229i</v>
      </c>
      <c r="AM187" s="24" t="str">
        <f t="shared" si="75"/>
        <v>3.0902874823879+11.9518475350289i</v>
      </c>
      <c r="AN187" s="24" t="str">
        <f t="shared" si="76"/>
        <v>-1.76483804271985+0.455492309510346i</v>
      </c>
      <c r="AO187" s="24">
        <f t="shared" si="59"/>
        <v>1.8226701734143509</v>
      </c>
      <c r="AP187" s="24">
        <f t="shared" si="60"/>
        <v>2.8890116914619517</v>
      </c>
      <c r="AQ187" s="24">
        <f t="shared" si="61"/>
        <v>165.52817688472101</v>
      </c>
      <c r="AR187" s="24">
        <f t="shared" si="62"/>
        <v>5.214161734857889</v>
      </c>
      <c r="AS187" s="24">
        <f t="shared" si="77"/>
        <v>-2.1995100549765469</v>
      </c>
      <c r="AT187" s="24">
        <f t="shared" si="78"/>
        <v>70.552274611343236</v>
      </c>
    </row>
    <row r="188" spans="4:46">
      <c r="D188" s="13"/>
      <c r="R188" s="12"/>
      <c r="S188" s="12"/>
      <c r="T188" s="12"/>
      <c r="U188" s="12"/>
      <c r="V188" s="12"/>
      <c r="W188" s="12"/>
      <c r="X188" s="12"/>
      <c r="Y188" s="24">
        <v>186</v>
      </c>
      <c r="Z188" s="24">
        <f t="shared" si="54"/>
        <v>92993.606974334747</v>
      </c>
      <c r="AA188" s="24" t="str">
        <f t="shared" si="63"/>
        <v>584296.065002773i</v>
      </c>
      <c r="AB188" s="24">
        <f t="shared" si="55"/>
        <v>7.8571428571428568</v>
      </c>
      <c r="AD188" s="24" t="str">
        <f t="shared" si="56"/>
        <v>0.00836772321349892-0.058952035504058i</v>
      </c>
      <c r="AE188" s="24" t="str">
        <f t="shared" si="57"/>
        <v>0.951336720375523-0.23365339912806i</v>
      </c>
      <c r="AF188" s="24" t="str">
        <f t="shared" si="71"/>
        <v>-0.039850269486558-0.397818432668368i</v>
      </c>
      <c r="AG188" s="24">
        <f t="shared" si="58"/>
        <v>0.39980939127147597</v>
      </c>
      <c r="AH188" s="24">
        <f t="shared" si="72"/>
        <v>-1.6706352770209882</v>
      </c>
      <c r="AI188" s="24">
        <f t="shared" si="53"/>
        <v>-95.720350478971753</v>
      </c>
      <c r="AJ188" s="24">
        <f t="shared" si="73"/>
        <v>-7.9629401758698881</v>
      </c>
      <c r="AL188" s="24" t="str">
        <f t="shared" si="74"/>
        <v>1.70568331878638E-07-0.000412999155913281i</v>
      </c>
      <c r="AM188" s="24" t="str">
        <f t="shared" si="75"/>
        <v>3.35475787769305+12.660858925189i</v>
      </c>
      <c r="AN188" s="24" t="str">
        <f t="shared" si="76"/>
        <v>-1.75800087196138+0.465041948022543i</v>
      </c>
      <c r="AO188" s="24">
        <f t="shared" si="59"/>
        <v>1.8184694331325932</v>
      </c>
      <c r="AP188" s="24">
        <f t="shared" si="60"/>
        <v>2.8829872094648392</v>
      </c>
      <c r="AQ188" s="24">
        <f t="shared" si="61"/>
        <v>165.1829994925339</v>
      </c>
      <c r="AR188" s="24">
        <f t="shared" si="62"/>
        <v>5.1941201068972207</v>
      </c>
      <c r="AS188" s="24">
        <f t="shared" si="77"/>
        <v>-2.7688200689726674</v>
      </c>
      <c r="AT188" s="24">
        <f t="shared" si="78"/>
        <v>69.462649013562142</v>
      </c>
    </row>
    <row r="189" spans="4:46">
      <c r="D189" s="13"/>
      <c r="R189" s="12"/>
      <c r="S189" s="12"/>
      <c r="T189" s="12"/>
      <c r="U189" s="12"/>
      <c r="V189" s="12"/>
      <c r="W189" s="12"/>
      <c r="X189" s="12"/>
      <c r="Y189" s="24">
        <v>187</v>
      </c>
      <c r="Z189" s="24">
        <f t="shared" si="54"/>
        <v>98892.921394542427</v>
      </c>
      <c r="AA189" s="24" t="str">
        <f t="shared" si="63"/>
        <v>621362.550690255i</v>
      </c>
      <c r="AB189" s="24">
        <f t="shared" si="55"/>
        <v>7.8571428571428568</v>
      </c>
      <c r="AD189" s="24" t="str">
        <f t="shared" si="56"/>
        <v>0.00796332665657574-0.0554579439840654i</v>
      </c>
      <c r="AE189" s="24" t="str">
        <f t="shared" si="57"/>
        <v>0.945245957043985-0.247167279707862i</v>
      </c>
      <c r="AF189" s="24" t="str">
        <f t="shared" si="71"/>
        <v>-0.0423608020084342-0.372808692606455i</v>
      </c>
      <c r="AG189" s="24">
        <f t="shared" si="58"/>
        <v>0.37520762096435617</v>
      </c>
      <c r="AH189" s="24">
        <f t="shared" si="72"/>
        <v>-1.6839371867633941</v>
      </c>
      <c r="AI189" s="24">
        <f t="shared" si="53"/>
        <v>-96.48249376667556</v>
      </c>
      <c r="AJ189" s="24">
        <f t="shared" si="73"/>
        <v>-8.5145669821305816</v>
      </c>
      <c r="AL189" s="24" t="str">
        <f t="shared" si="74"/>
        <v>1.50825295176872E-07-0.000388362295323069i</v>
      </c>
      <c r="AM189" s="24" t="str">
        <f t="shared" si="75"/>
        <v>3.65139173247187+13.4053666080604i</v>
      </c>
      <c r="AN189" s="24" t="str">
        <f t="shared" si="76"/>
        <v>-1.75033397342708+0.476030806262537i</v>
      </c>
      <c r="AO189" s="24">
        <f t="shared" si="59"/>
        <v>1.813911339355921</v>
      </c>
      <c r="AP189" s="24">
        <f t="shared" si="60"/>
        <v>2.8760495888092943</v>
      </c>
      <c r="AQ189" s="24">
        <f t="shared" si="61"/>
        <v>164.78550310910839</v>
      </c>
      <c r="AR189" s="24">
        <f t="shared" si="62"/>
        <v>5.1723211145753245</v>
      </c>
      <c r="AS189" s="24">
        <f t="shared" si="77"/>
        <v>-3.3422458675552571</v>
      </c>
      <c r="AT189" s="24">
        <f t="shared" si="78"/>
        <v>68.30300934243283</v>
      </c>
    </row>
    <row r="190" spans="4:46">
      <c r="D190" s="13"/>
      <c r="R190" s="12"/>
      <c r="S190" s="12"/>
      <c r="T190" s="12"/>
      <c r="U190" s="12"/>
      <c r="V190" s="12"/>
      <c r="W190" s="12"/>
      <c r="X190" s="12"/>
      <c r="Y190" s="24">
        <v>188</v>
      </c>
      <c r="Z190" s="24">
        <f t="shared" si="54"/>
        <v>105166.47563360249</v>
      </c>
      <c r="AA190" s="24" t="str">
        <f t="shared" si="63"/>
        <v>660780.454508911i</v>
      </c>
      <c r="AB190" s="24">
        <f t="shared" si="55"/>
        <v>7.8571428571428568</v>
      </c>
      <c r="AD190" s="24" t="str">
        <f t="shared" si="56"/>
        <v>0.00760546354570966-0.0521684926743225i</v>
      </c>
      <c r="AE190" s="24" t="str">
        <f t="shared" si="57"/>
        <v>0.93843200459711-0.261290067929435i</v>
      </c>
      <c r="AF190" s="24" t="str">
        <f t="shared" si="71"/>
        <v>-0.0445117941430921-0.349189409769785i</v>
      </c>
      <c r="AG190" s="24">
        <f t="shared" si="58"/>
        <v>0.3520149765467484</v>
      </c>
      <c r="AH190" s="24">
        <f t="shared" si="72"/>
        <v>-1.6975843248241544</v>
      </c>
      <c r="AI190" s="24">
        <f t="shared" si="53"/>
        <v>-97.264417179989479</v>
      </c>
      <c r="AJ190" s="24">
        <f t="shared" si="73"/>
        <v>-9.0687771796847123</v>
      </c>
      <c r="AL190" s="24" t="str">
        <f t="shared" si="74"/>
        <v>1.33367485996119E-07-0.000365195109782747i</v>
      </c>
      <c r="AM190" s="24" t="str">
        <f t="shared" si="75"/>
        <v>3.98375531868142+14.1858672200671i</v>
      </c>
      <c r="AN190" s="24" t="str">
        <f t="shared" si="76"/>
        <v>-1.74174515139565+0.488440536906154i</v>
      </c>
      <c r="AO190" s="24">
        <f t="shared" si="59"/>
        <v>1.8089362427966962</v>
      </c>
      <c r="AP190" s="24">
        <f t="shared" si="60"/>
        <v>2.8681836890858325</v>
      </c>
      <c r="AQ190" s="24">
        <f t="shared" si="61"/>
        <v>164.33482025288092</v>
      </c>
      <c r="AR190" s="24">
        <f t="shared" si="62"/>
        <v>5.1484652024308044</v>
      </c>
      <c r="AS190" s="24">
        <f t="shared" si="77"/>
        <v>-3.9203119772539079</v>
      </c>
      <c r="AT190" s="24">
        <f t="shared" si="78"/>
        <v>67.070403072891438</v>
      </c>
    </row>
    <row r="191" spans="4:46">
      <c r="D191" s="13"/>
      <c r="R191" s="12"/>
      <c r="S191" s="12"/>
      <c r="T191" s="12"/>
      <c r="U191" s="12"/>
      <c r="V191" s="12"/>
      <c r="W191" s="12"/>
      <c r="X191" s="12"/>
      <c r="Y191" s="24">
        <v>189</v>
      </c>
      <c r="Z191" s="24">
        <f t="shared" si="54"/>
        <v>111838.01066072512</v>
      </c>
      <c r="AA191" s="24" t="str">
        <f t="shared" si="63"/>
        <v>702698.945367662i</v>
      </c>
      <c r="AB191" s="24">
        <f t="shared" si="55"/>
        <v>7.8571428571428568</v>
      </c>
      <c r="AD191" s="24" t="str">
        <f t="shared" si="56"/>
        <v>0.00728880741755356-0.049072109653861i</v>
      </c>
      <c r="AE191" s="24" t="str">
        <f t="shared" si="57"/>
        <v>0.930819259655367-0.276015717905543i</v>
      </c>
      <c r="AF191" s="24" t="str">
        <f t="shared" si="71"/>
        <v>-0.0463365228232179-0.326880214529911i</v>
      </c>
      <c r="AG191" s="24">
        <f t="shared" si="58"/>
        <v>0.3301480698087863</v>
      </c>
      <c r="AH191" s="24">
        <f t="shared" si="72"/>
        <v>-1.7116119695680196</v>
      </c>
      <c r="AI191" s="24">
        <f t="shared" si="53"/>
        <v>-98.068142020321815</v>
      </c>
      <c r="AJ191" s="24">
        <f t="shared" si="73"/>
        <v>-9.6258247492123328</v>
      </c>
      <c r="AL191" s="24" t="str">
        <f t="shared" si="74"/>
        <v>1.17930392671362E-07-0.000343409928167176i</v>
      </c>
      <c r="AM191" s="24" t="str">
        <f t="shared" si="75"/>
        <v>4.35571934815537+15.0025886920296i</v>
      </c>
      <c r="AN191" s="24" t="str">
        <f t="shared" si="76"/>
        <v>-1.73213435984182+0.502247713089274i</v>
      </c>
      <c r="AO191" s="24">
        <f t="shared" si="59"/>
        <v>1.8034805809456438</v>
      </c>
      <c r="AP191" s="24">
        <f t="shared" si="60"/>
        <v>2.8593731758987366</v>
      </c>
      <c r="AQ191" s="24">
        <f t="shared" si="61"/>
        <v>163.83001503191596</v>
      </c>
      <c r="AR191" s="24">
        <f t="shared" si="62"/>
        <v>5.1222294079026645</v>
      </c>
      <c r="AS191" s="24">
        <f t="shared" si="77"/>
        <v>-4.5035953413096683</v>
      </c>
      <c r="AT191" s="24">
        <f t="shared" si="78"/>
        <v>65.761873011594147</v>
      </c>
    </row>
    <row r="192" spans="4:46">
      <c r="D192" s="13"/>
      <c r="R192" s="12"/>
      <c r="S192" s="12"/>
      <c r="T192" s="12"/>
      <c r="U192" s="12"/>
      <c r="V192" s="12"/>
      <c r="W192" s="12"/>
      <c r="X192" s="12"/>
      <c r="Y192" s="24">
        <v>190</v>
      </c>
      <c r="Z192" s="24">
        <f t="shared" si="54"/>
        <v>118932.77352114675</v>
      </c>
      <c r="AA192" s="24" t="str">
        <f t="shared" si="63"/>
        <v>747276.655130187i</v>
      </c>
      <c r="AB192" s="24">
        <f t="shared" si="55"/>
        <v>7.8571428571428568</v>
      </c>
      <c r="AD192" s="24" t="str">
        <f t="shared" si="56"/>
        <v>0.00700863538711129-0.0461578072175239i</v>
      </c>
      <c r="AE192" s="24" t="str">
        <f t="shared" si="57"/>
        <v>0.922326878711178-0.291330591389146i</v>
      </c>
      <c r="AF192" s="24" t="str">
        <f t="shared" si="71"/>
        <v>-0.0478638017272428-0.305805161403077i</v>
      </c>
      <c r="AG192" s="24">
        <f t="shared" si="58"/>
        <v>0.30952825437518106</v>
      </c>
      <c r="AH192" s="24">
        <f t="shared" si="72"/>
        <v>-1.7260539990164527</v>
      </c>
      <c r="AI192" s="24">
        <f t="shared" si="53"/>
        <v>-98.895609355320687</v>
      </c>
      <c r="AJ192" s="24">
        <f t="shared" si="73"/>
        <v>-10.185994030831029</v>
      </c>
      <c r="AL192" s="24" t="str">
        <f t="shared" si="74"/>
        <v>1.04280120352393E-07-0.000322924309208907i</v>
      </c>
      <c r="AM192" s="24" t="str">
        <f t="shared" si="75"/>
        <v>4.77146056386397+15.8554301400925i</v>
      </c>
      <c r="AN192" s="24" t="str">
        <f t="shared" si="76"/>
        <v>-1.7213936600035+0.517422165220703i</v>
      </c>
      <c r="AO192" s="24">
        <f t="shared" si="59"/>
        <v>1.7974765171656417</v>
      </c>
      <c r="AP192" s="24">
        <f t="shared" si="60"/>
        <v>2.8496008190088631</v>
      </c>
      <c r="AQ192" s="24">
        <f t="shared" si="61"/>
        <v>163.27010022623062</v>
      </c>
      <c r="AR192" s="24">
        <f t="shared" si="62"/>
        <v>5.0932645064725452</v>
      </c>
      <c r="AS192" s="24">
        <f t="shared" si="77"/>
        <v>-5.092729524358484</v>
      </c>
      <c r="AT192" s="24">
        <f t="shared" si="78"/>
        <v>64.374490870909938</v>
      </c>
    </row>
    <row r="193" spans="4:46">
      <c r="D193" s="13"/>
      <c r="R193" s="12"/>
      <c r="S193" s="12"/>
      <c r="T193" s="12"/>
      <c r="U193" s="12"/>
      <c r="V193" s="12"/>
      <c r="W193" s="12"/>
      <c r="X193" s="12"/>
      <c r="Y193" s="24">
        <v>191</v>
      </c>
      <c r="Z193" s="24">
        <f t="shared" si="54"/>
        <v>126477.61287835392</v>
      </c>
      <c r="AA193" s="24" t="str">
        <f t="shared" si="63"/>
        <v>794682.278924421i</v>
      </c>
      <c r="AB193" s="24">
        <f t="shared" si="55"/>
        <v>7.8571428571428568</v>
      </c>
      <c r="AD193" s="24" t="str">
        <f t="shared" si="56"/>
        <v>0.00676076108714743-0.0434151646365291i</v>
      </c>
      <c r="AE193" s="24" t="str">
        <f t="shared" si="57"/>
        <v>0.912869128531785-0.307212084719944i</v>
      </c>
      <c r="AF193" s="24" t="str">
        <f t="shared" si="71"/>
        <v>-0.0491184636312858-0.28589267594186i</v>
      </c>
      <c r="AG193" s="24">
        <f t="shared" si="58"/>
        <v>0.29008144653992496</v>
      </c>
      <c r="AH193" s="24">
        <f t="shared" si="72"/>
        <v>-1.7409425444615563</v>
      </c>
      <c r="AI193" s="24">
        <f t="shared" si="53"/>
        <v>-99.74866017241385</v>
      </c>
      <c r="AJ193" s="24">
        <f t="shared" si="73"/>
        <v>-10.749600951213687</v>
      </c>
      <c r="AL193" s="24" t="str">
        <f t="shared" si="74"/>
        <v>9.22098471581604E-08-0.000303660729524752i</v>
      </c>
      <c r="AM193" s="24" t="str">
        <f t="shared" si="75"/>
        <v>5.23545562627319+16.7438945513102i</v>
      </c>
      <c r="AN193" s="24" t="str">
        <f t="shared" si="76"/>
        <v>-1.70940737707599+0.533925138340353i</v>
      </c>
      <c r="AO193" s="24">
        <f t="shared" si="59"/>
        <v>1.790851650515358</v>
      </c>
      <c r="AP193" s="24">
        <f t="shared" si="60"/>
        <v>2.8388488462285535</v>
      </c>
      <c r="AQ193" s="24">
        <f t="shared" si="61"/>
        <v>162.65405756447936</v>
      </c>
      <c r="AR193" s="24">
        <f t="shared" si="62"/>
        <v>5.0611922303139965</v>
      </c>
      <c r="AS193" s="24">
        <f t="shared" si="77"/>
        <v>-5.6884087208996901</v>
      </c>
      <c r="AT193" s="24">
        <f t="shared" si="78"/>
        <v>62.90539739206551</v>
      </c>
    </row>
    <row r="194" spans="4:46">
      <c r="D194" s="13"/>
      <c r="R194" s="12"/>
      <c r="S194" s="12"/>
      <c r="T194" s="12"/>
      <c r="U194" s="12"/>
      <c r="V194" s="12"/>
      <c r="W194" s="12"/>
      <c r="X194" s="12"/>
      <c r="Y194" s="24">
        <v>192</v>
      </c>
      <c r="Z194" s="24">
        <f t="shared" si="54"/>
        <v>134501.0806172993</v>
      </c>
      <c r="AA194" s="24" t="str">
        <f t="shared" si="63"/>
        <v>845095.213534392i</v>
      </c>
      <c r="AB194" s="24">
        <f t="shared" si="55"/>
        <v>7.8571428571428568</v>
      </c>
      <c r="AD194" s="24" t="str">
        <f t="shared" si="56"/>
        <v>0.00654147476528028-0.0408343090496254i</v>
      </c>
      <c r="AE194" s="24" t="str">
        <f t="shared" si="57"/>
        <v>0.902355972720644-0.323627148681638i</v>
      </c>
      <c r="AF194" s="24" t="str">
        <f t="shared" si="71"/>
        <v>-0.0501218043837311-0.267075493902382i</v>
      </c>
      <c r="AG194" s="24">
        <f t="shared" si="58"/>
        <v>0.27173795229574077</v>
      </c>
      <c r="AH194" s="24">
        <f t="shared" si="72"/>
        <v>-1.7563075810639903</v>
      </c>
      <c r="AI194" s="24">
        <f t="shared" ref="AI194:AI202" si="79">AH194/(PI())*180</f>
        <v>-100.62901192179736</v>
      </c>
      <c r="AJ194" s="24">
        <f t="shared" si="73"/>
        <v>-11.316994031675346</v>
      </c>
      <c r="AL194" s="24" t="str">
        <f t="shared" si="74"/>
        <v>8.15366905247055E-08-0.00028554629025164i</v>
      </c>
      <c r="AM194" s="24" t="str">
        <f t="shared" si="75"/>
        <v>5.75246509520793+17.6670145451481i</v>
      </c>
      <c r="AN194" s="24" t="str">
        <f t="shared" si="76"/>
        <v>-1.69605251281807+0.5517072768913i</v>
      </c>
      <c r="AO194" s="24">
        <f t="shared" si="59"/>
        <v>1.7835288182732856</v>
      </c>
      <c r="AP194" s="24">
        <f t="shared" si="60"/>
        <v>2.827099358880246</v>
      </c>
      <c r="AQ194" s="24">
        <f t="shared" si="61"/>
        <v>161.98086152797896</v>
      </c>
      <c r="AR194" s="24">
        <f t="shared" si="62"/>
        <v>5.0256026212973985</v>
      </c>
      <c r="AS194" s="24">
        <f t="shared" si="77"/>
        <v>-6.2913914103779476</v>
      </c>
      <c r="AT194" s="24">
        <f t="shared" si="78"/>
        <v>61.351849606181602</v>
      </c>
    </row>
    <row r="195" spans="4:46">
      <c r="D195" s="13"/>
      <c r="R195" s="12"/>
      <c r="S195" s="12"/>
      <c r="T195" s="12"/>
      <c r="U195" s="12"/>
      <c r="V195" s="12"/>
      <c r="W195" s="12"/>
      <c r="X195" s="12"/>
      <c r="Y195" s="24">
        <v>193</v>
      </c>
      <c r="Z195" s="24">
        <f t="shared" ref="Z195:Z202" si="80">10^(LOG($G$6/$G$5,10)*Y195/200)</f>
        <v>143033.53989310883</v>
      </c>
      <c r="AA195" s="24" t="str">
        <f t="shared" si="63"/>
        <v>898706.236290267i</v>
      </c>
      <c r="AB195" s="24">
        <f t="shared" ref="AB195:AB202" si="81">$B$23/$G$3</f>
        <v>7.8571428571428568</v>
      </c>
      <c r="AD195" s="24" t="str">
        <f t="shared" ref="AD195:AD202" si="82">IMDIV(IMSUM(1,IMDIV(AA195,$G$12)),IMSUM(1,IMDIV(AA195,$G$14)))</f>
        <v>0.00634748984002138-0.0384058950663666i</v>
      </c>
      <c r="AE195" s="24" t="str">
        <f t="shared" ref="AE195:AE202" si="83">IMDIV(1,IMSUM(1,IMDIV(AA195,IMPRODUCT($G$10*$G$11)),IMDIV(IMPRODUCT(AA195,AA195),$G$10*$G$10)))</f>
        <v>0.890693944336373-0.340530728599699i</v>
      </c>
      <c r="AF195" s="24" t="str">
        <f t="shared" si="71"/>
        <v>-0.0508919957866741-0.249290595410722i</v>
      </c>
      <c r="AG195" s="24">
        <f t="shared" ref="AG195:AG202" si="84">IMABS(AF195)</f>
        <v>0.25443230179240828</v>
      </c>
      <c r="AH195" s="24">
        <f t="shared" si="72"/>
        <v>-1.7721764522561965</v>
      </c>
      <c r="AI195" s="24">
        <f t="shared" si="79"/>
        <v>-101.5382312667475</v>
      </c>
      <c r="AJ195" s="24">
        <f t="shared" si="73"/>
        <v>-11.888555061757224</v>
      </c>
      <c r="AL195" s="24" t="str">
        <f t="shared" si="74"/>
        <v>7.20989362676758E-08-0.000268512441181818i</v>
      </c>
      <c r="AM195" s="24" t="str">
        <f t="shared" si="75"/>
        <v>6.32750502482855+18.6232719570874i</v>
      </c>
      <c r="AN195" s="24" t="str">
        <f t="shared" si="76"/>
        <v>-1.68119947815908+0.570706455804304i</v>
      </c>
      <c r="AO195" s="24">
        <f t="shared" ref="AO195:AO202" si="85">IMABS(AN195)</f>
        <v>1.7754260176248045</v>
      </c>
      <c r="AP195" s="24">
        <f t="shared" ref="AP195:AP202" si="86">IMARGUMENT(AN195)</f>
        <v>2.8143348142744582</v>
      </c>
      <c r="AQ195" s="24">
        <f t="shared" ref="AQ195:AQ202" si="87">AP195/(PI())*180</f>
        <v>161.24950699466086</v>
      </c>
      <c r="AR195" s="24">
        <f t="shared" ref="AR195:AR202" si="88">20*LOG(AO195,10)</f>
        <v>4.9860515974473518</v>
      </c>
      <c r="AS195" s="24">
        <f t="shared" si="77"/>
        <v>-6.9025034643098717</v>
      </c>
      <c r="AT195" s="24">
        <f t="shared" si="78"/>
        <v>59.71127572791336</v>
      </c>
    </row>
    <row r="196" spans="4:46">
      <c r="D196" s="13"/>
      <c r="R196" s="12"/>
      <c r="S196" s="12"/>
      <c r="T196" s="12"/>
      <c r="U196" s="12"/>
      <c r="V196" s="12"/>
      <c r="W196" s="12"/>
      <c r="X196" s="12"/>
      <c r="Y196" s="24">
        <v>194</v>
      </c>
      <c r="Z196" s="24">
        <f t="shared" si="80"/>
        <v>152107.28003416685</v>
      </c>
      <c r="AA196" s="24" t="str">
        <f t="shared" ref="AA196:AA202" si="89">IMPRODUCT(COMPLEX(0,1),2*PI()*Z196)</f>
        <v>955718.227025728i</v>
      </c>
      <c r="AB196" s="24">
        <f t="shared" si="81"/>
        <v>7.8571428571428568</v>
      </c>
      <c r="AD196" s="24" t="str">
        <f t="shared" si="82"/>
        <v>0.00617589527024048-0.0361210835549205i</v>
      </c>
      <c r="AE196" s="24" t="str">
        <f t="shared" si="83"/>
        <v>0.87778735620497-0.357864166416262i</v>
      </c>
      <c r="AF196" s="24" t="str">
        <f t="shared" si="71"/>
        <v>-0.0514444743824503-0.23247913539232i</v>
      </c>
      <c r="AG196" s="24">
        <f t="shared" si="84"/>
        <v>0.23810309182630798</v>
      </c>
      <c r="AH196" s="24">
        <f t="shared" ref="AH196:AH202" si="90">IMARGUMENT(AF196)</f>
        <v>-1.7885733267039232</v>
      </c>
      <c r="AI196" s="24">
        <f t="shared" si="79"/>
        <v>-102.47770296980815</v>
      </c>
      <c r="AJ196" s="24">
        <f t="shared" ref="AJ196:AJ202" si="91">20*LOG(AG196,10)</f>
        <v>-12.464699302789718</v>
      </c>
      <c r="AL196" s="24" t="str">
        <f t="shared" ref="AL196:AL202" si="92">IMDIV(1,IMSUM(1,IMDIV(AA196,wp2e)))</f>
        <v>6.37535883759801E-08-0.000252494721353655i</v>
      </c>
      <c r="AM196" s="24" t="str">
        <f t="shared" ref="AM196:AM202" si="93">IMDIV(IMSUM(1,IMDIV(AA196,wz2e)),IMSUM(1,IMDIV(AA196,wp1e)))</f>
        <v>6.96580346258145+19.6105125975607i</v>
      </c>
      <c r="AN196" s="24" t="str">
        <f t="shared" ref="AN196:AN202" si="94">IMPRODUCT($AK$2,AL196,AM196)</f>
        <v>-1.66471321575454+0.590845492491602i</v>
      </c>
      <c r="AO196" s="24">
        <f t="shared" si="85"/>
        <v>1.7664564774444531</v>
      </c>
      <c r="AP196" s="24">
        <f t="shared" si="86"/>
        <v>2.8005385798262679</v>
      </c>
      <c r="AQ196" s="24">
        <f t="shared" si="87"/>
        <v>160.45904098760656</v>
      </c>
      <c r="AR196" s="24">
        <f t="shared" si="88"/>
        <v>4.9420588321502326</v>
      </c>
      <c r="AS196" s="24">
        <f t="shared" ref="AS196:AS202" si="95">AR196+AJ196</f>
        <v>-7.5226404706394856</v>
      </c>
      <c r="AT196" s="24">
        <f t="shared" ref="AT196:AT202" si="96">AQ196+AI196</f>
        <v>57.981338017798407</v>
      </c>
    </row>
    <row r="197" spans="4:46">
      <c r="D197" s="13"/>
      <c r="R197" s="12"/>
      <c r="S197" s="12"/>
      <c r="T197" s="12"/>
      <c r="U197" s="12"/>
      <c r="V197" s="12"/>
      <c r="W197" s="12"/>
      <c r="X197" s="12"/>
      <c r="Y197" s="24">
        <v>195</v>
      </c>
      <c r="Z197" s="24">
        <f t="shared" si="80"/>
        <v>161756.63873440344</v>
      </c>
      <c r="AA197" s="24" t="str">
        <f t="shared" si="89"/>
        <v>1016346.93583476i</v>
      </c>
      <c r="AB197" s="24">
        <f t="shared" si="81"/>
        <v>7.8571428571428568</v>
      </c>
      <c r="AD197" s="24" t="str">
        <f t="shared" si="82"/>
        <v>0.00602411314542961-0.0339715199955258i</v>
      </c>
      <c r="AE197" s="24" t="str">
        <f t="shared" si="83"/>
        <v>0.86353989908924-0.375553623652828i</v>
      </c>
      <c r="AF197" s="24" t="str">
        <f t="shared" si="71"/>
        <v>-0.0517923127030958-0.21658637005756i</v>
      </c>
      <c r="AG197" s="24">
        <f t="shared" si="84"/>
        <v>0.22269283632359077</v>
      </c>
      <c r="AH197" s="24">
        <f t="shared" si="90"/>
        <v>-1.8055185892943548</v>
      </c>
      <c r="AI197" s="24">
        <f t="shared" si="79"/>
        <v>-103.44859499898079</v>
      </c>
      <c r="AJ197" s="24">
        <f t="shared" si="91"/>
        <v>-13.045875066160226</v>
      </c>
      <c r="AL197" s="24" t="str">
        <f t="shared" si="92"/>
        <v>5.63742024126086E-08-0.000237432515116523i</v>
      </c>
      <c r="AM197" s="24" t="str">
        <f t="shared" si="93"/>
        <v>7.67273901938507+20.6258583004478i</v>
      </c>
      <c r="AN197" s="24" t="str">
        <f t="shared" si="94"/>
        <v>-1.64645478563036+0.612029794019859i</v>
      </c>
      <c r="AO197" s="24">
        <f t="shared" si="85"/>
        <v>1.7565289151884478</v>
      </c>
      <c r="AP197" s="24">
        <f t="shared" si="86"/>
        <v>2.7856955619838315</v>
      </c>
      <c r="AQ197" s="24">
        <f t="shared" si="87"/>
        <v>159.60859870999755</v>
      </c>
      <c r="AR197" s="24">
        <f t="shared" si="88"/>
        <v>4.8931060669437603</v>
      </c>
      <c r="AS197" s="24">
        <f t="shared" si="95"/>
        <v>-8.152768999216466</v>
      </c>
      <c r="AT197" s="24">
        <f t="shared" si="96"/>
        <v>56.160003711016756</v>
      </c>
    </row>
    <row r="198" spans="4:46">
      <c r="D198" s="13"/>
      <c r="R198" s="12"/>
      <c r="S198" s="12"/>
      <c r="T198" s="12"/>
      <c r="U198" s="12"/>
      <c r="V198" s="12"/>
      <c r="W198" s="12"/>
      <c r="X198" s="12"/>
      <c r="Y198" s="24">
        <v>196</v>
      </c>
      <c r="Z198" s="24">
        <f t="shared" si="80"/>
        <v>172018.13199719929</v>
      </c>
      <c r="AA198" s="24" t="str">
        <f t="shared" si="89"/>
        <v>1080821.79953328i</v>
      </c>
      <c r="AB198" s="24">
        <f t="shared" si="81"/>
        <v>7.8571428571428568</v>
      </c>
      <c r="AD198" s="24" t="str">
        <f t="shared" si="82"/>
        <v>0.00588986095553691-0.031949312704562i</v>
      </c>
      <c r="AE198" s="24" t="str">
        <f t="shared" si="83"/>
        <v>0.847856671858566-0.393508603704291i</v>
      </c>
      <c r="AF198" s="24" t="str">
        <f t="shared" si="71"/>
        <v>-0.0519465788885314-0.201561577756792i</v>
      </c>
      <c r="AG198" s="24">
        <f t="shared" si="84"/>
        <v>0.20814782412033456</v>
      </c>
      <c r="AH198" s="24">
        <f t="shared" si="90"/>
        <v>-1.823028171242377</v>
      </c>
      <c r="AI198" s="24">
        <f t="shared" si="79"/>
        <v>-104.45182014564092</v>
      </c>
      <c r="AJ198" s="24">
        <f t="shared" si="91"/>
        <v>-13.632562493283313</v>
      </c>
      <c r="AL198" s="24" t="str">
        <f t="shared" si="92"/>
        <v>4.98489696956511E-08-0.000223268822746776i</v>
      </c>
      <c r="AM198" s="24" t="str">
        <f t="shared" si="93"/>
        <v>8.45375871790576+21.6656192907243i</v>
      </c>
      <c r="AN198" s="24" t="str">
        <f t="shared" si="94"/>
        <v>-1.62628348603523+0.634145017390126i</v>
      </c>
      <c r="AO198" s="24">
        <f t="shared" si="85"/>
        <v>1.7455480171085596</v>
      </c>
      <c r="AP198" s="24">
        <f t="shared" si="86"/>
        <v>2.7697929109544326</v>
      </c>
      <c r="AQ198" s="24">
        <f t="shared" si="87"/>
        <v>158.69744392294362</v>
      </c>
      <c r="AR198" s="24">
        <f t="shared" si="88"/>
        <v>4.8386360005972877</v>
      </c>
      <c r="AS198" s="24">
        <f t="shared" si="95"/>
        <v>-8.7939264926860261</v>
      </c>
      <c r="AT198" s="24">
        <f t="shared" si="96"/>
        <v>54.245623777302697</v>
      </c>
    </row>
    <row r="199" spans="4:46">
      <c r="D199" s="13"/>
      <c r="R199" s="12"/>
      <c r="S199" s="12"/>
      <c r="T199" s="12"/>
      <c r="U199" s="12"/>
      <c r="V199" s="12"/>
      <c r="W199" s="12"/>
      <c r="X199" s="12"/>
      <c r="Y199" s="24">
        <v>197</v>
      </c>
      <c r="Z199" s="24">
        <f t="shared" si="80"/>
        <v>182930.59232265301</v>
      </c>
      <c r="AA199" s="24" t="str">
        <f t="shared" si="89"/>
        <v>1149386.80991535i</v>
      </c>
      <c r="AB199" s="24">
        <f t="shared" si="81"/>
        <v>7.8571428571428568</v>
      </c>
      <c r="AD199" s="24" t="str">
        <f t="shared" si="82"/>
        <v>0.00577111804824408-0.0300470111709158i</v>
      </c>
      <c r="AE199" s="24" t="str">
        <f t="shared" si="83"/>
        <v>0.830646675769178-0.411620672887595i</v>
      </c>
      <c r="AF199" s="24" t="str">
        <f t="shared" si="71"/>
        <v>-0.051916689649775-0.1873579710577i</v>
      </c>
      <c r="AG199" s="24">
        <f t="shared" si="84"/>
        <v>0.1944179826637675</v>
      </c>
      <c r="AH199" s="24">
        <f t="shared" si="90"/>
        <v>-1.8411128290287584</v>
      </c>
      <c r="AI199" s="24">
        <f t="shared" si="79"/>
        <v>-105.48799471073897</v>
      </c>
      <c r="AJ199" s="24">
        <f t="shared" si="91"/>
        <v>-14.22527135090567</v>
      </c>
      <c r="AL199" s="24" t="str">
        <f t="shared" si="92"/>
        <v>4.40790232321823E-08-0.000209950044746892i</v>
      </c>
      <c r="AM199" s="24" t="str">
        <f t="shared" si="93"/>
        <v>9.31427260045699+22.7252109526664i</v>
      </c>
      <c r="AN199" s="24" t="str">
        <f t="shared" si="94"/>
        <v>-1.60405957452861+0.657054848033121i</v>
      </c>
      <c r="AO199" s="24">
        <f t="shared" si="85"/>
        <v>1.7334151816459704</v>
      </c>
      <c r="AP199" s="24">
        <f t="shared" si="86"/>
        <v>2.7528207991557738</v>
      </c>
      <c r="AQ199" s="24">
        <f t="shared" si="87"/>
        <v>157.72501354745629</v>
      </c>
      <c r="AR199" s="24">
        <f t="shared" si="88"/>
        <v>4.7780519178947394</v>
      </c>
      <c r="AS199" s="24">
        <f t="shared" si="95"/>
        <v>-9.4472194330109307</v>
      </c>
      <c r="AT199" s="24">
        <f t="shared" si="96"/>
        <v>52.237018836717311</v>
      </c>
    </row>
    <row r="200" spans="4:46">
      <c r="D200" s="13"/>
      <c r="R200" s="12"/>
      <c r="S200" s="12"/>
      <c r="T200" s="12"/>
      <c r="U200" s="12"/>
      <c r="V200" s="12"/>
      <c r="W200" s="12"/>
      <c r="X200" s="12"/>
      <c r="Y200" s="24">
        <v>198</v>
      </c>
      <c r="Z200" s="24">
        <f t="shared" si="80"/>
        <v>194535.31566115122</v>
      </c>
      <c r="AA200" s="24" t="str">
        <f t="shared" si="89"/>
        <v>1222301.43708969i</v>
      </c>
      <c r="AB200" s="24">
        <f t="shared" si="81"/>
        <v>7.8571428571428568</v>
      </c>
      <c r="AD200" s="24" t="str">
        <f t="shared" si="82"/>
        <v>0.00566609582787098-0.0282575846939094i</v>
      </c>
      <c r="AE200" s="24" t="str">
        <f t="shared" si="83"/>
        <v>0.811825785490079-0.429762500534154i</v>
      </c>
      <c r="AF200" s="24" t="str">
        <f t="shared" si="71"/>
        <v>-0.0517107602802241-0.173932595519411i</v>
      </c>
      <c r="AG200" s="24">
        <f t="shared" si="84"/>
        <v>0.18145674557006097</v>
      </c>
      <c r="AH200" s="24">
        <f t="shared" si="90"/>
        <v>-1.8597773875329917</v>
      </c>
      <c r="AI200" s="24">
        <f t="shared" si="79"/>
        <v>-106.55739513950655</v>
      </c>
      <c r="AJ200" s="24">
        <f t="shared" si="91"/>
        <v>-14.824537649362014</v>
      </c>
      <c r="AL200" s="24" t="str">
        <f t="shared" si="92"/>
        <v>3.89769397375352E-08-0.000197425779011591i</v>
      </c>
      <c r="AM200" s="24" t="str">
        <f t="shared" si="93"/>
        <v>10.2595231677311+23.7990802242296i</v>
      </c>
      <c r="AN200" s="24" t="str">
        <f t="shared" si="94"/>
        <v>-1.57964763910505+0.680599031193721i</v>
      </c>
      <c r="AO200" s="24">
        <f t="shared" si="85"/>
        <v>1.7200295651505499</v>
      </c>
      <c r="AP200" s="24">
        <f t="shared" si="86"/>
        <v>2.734773267292065</v>
      </c>
      <c r="AQ200" s="24">
        <f t="shared" si="87"/>
        <v>156.6909661410379</v>
      </c>
      <c r="AR200" s="24">
        <f t="shared" si="88"/>
        <v>4.710718238981074</v>
      </c>
      <c r="AS200" s="24">
        <f t="shared" si="95"/>
        <v>-10.113819410380941</v>
      </c>
      <c r="AT200" s="24">
        <f t="shared" si="96"/>
        <v>50.133571001531351</v>
      </c>
    </row>
    <row r="201" spans="4:46">
      <c r="D201" s="13"/>
      <c r="R201" s="12"/>
      <c r="S201" s="12"/>
      <c r="T201" s="12"/>
      <c r="U201" s="12"/>
      <c r="V201" s="12"/>
      <c r="W201" s="12"/>
      <c r="X201" s="12"/>
      <c r="Y201" s="24">
        <v>199</v>
      </c>
      <c r="Z201" s="24">
        <f t="shared" si="80"/>
        <v>206876.21768935499</v>
      </c>
      <c r="AA201" s="24" t="str">
        <f t="shared" si="89"/>
        <v>1299841.61139064i</v>
      </c>
      <c r="AB201" s="24">
        <f t="shared" si="81"/>
        <v>7.8571428571428568</v>
      </c>
      <c r="AD201" s="24" t="str">
        <f t="shared" si="82"/>
        <v>0.00557321129331727-0.0265744014687991i</v>
      </c>
      <c r="AE201" s="24" t="str">
        <f t="shared" si="83"/>
        <v>0.791320181444427-0.447787356846918i</v>
      </c>
      <c r="AF201" s="24" t="str">
        <f t="shared" si="71"/>
        <v>-0.0513359537471751-0.161246209442849i</v>
      </c>
      <c r="AG201" s="24">
        <f t="shared" si="84"/>
        <v>0.16922092130354105</v>
      </c>
      <c r="AH201" s="24">
        <f t="shared" si="90"/>
        <v>-1.8790199693294904</v>
      </c>
      <c r="AI201" s="24">
        <f t="shared" si="79"/>
        <v>-107.65991386338119</v>
      </c>
      <c r="AJ201" s="24">
        <f t="shared" si="91"/>
        <v>-15.430918896271645</v>
      </c>
      <c r="AL201" s="24" t="str">
        <f t="shared" si="92"/>
        <v>3.44654150434329E-08-0.000185648630093432i</v>
      </c>
      <c r="AM201" s="24" t="str">
        <f t="shared" si="93"/>
        <v>11.294428704431+24.880648001524i</v>
      </c>
      <c r="AN201" s="24" t="str">
        <f t="shared" si="94"/>
        <v>-1.55292064372311+0.704591820806999i</v>
      </c>
      <c r="AO201" s="24">
        <f t="shared" si="85"/>
        <v>1.7052894650614367</v>
      </c>
      <c r="AP201" s="24">
        <f t="shared" si="86"/>
        <v>2.7156491269076284</v>
      </c>
      <c r="AQ201" s="24">
        <f t="shared" si="87"/>
        <v>155.59523361019399</v>
      </c>
      <c r="AR201" s="24">
        <f t="shared" si="88"/>
        <v>4.6359621816280763</v>
      </c>
      <c r="AS201" s="24">
        <f t="shared" si="95"/>
        <v>-10.794956714643568</v>
      </c>
      <c r="AT201" s="24">
        <f t="shared" si="96"/>
        <v>47.935319746812795</v>
      </c>
    </row>
    <row r="202" spans="4:46">
      <c r="D202" s="13"/>
      <c r="R202" s="12"/>
      <c r="S202" s="12"/>
      <c r="T202" s="12"/>
      <c r="U202" s="12"/>
      <c r="V202" s="12"/>
      <c r="W202" s="12"/>
      <c r="X202" s="12"/>
      <c r="Y202" s="24">
        <v>200</v>
      </c>
      <c r="Z202" s="24">
        <f t="shared" si="80"/>
        <v>219999.99999999985</v>
      </c>
      <c r="AA202" s="24" t="str">
        <f t="shared" si="89"/>
        <v>1382300.76757951i</v>
      </c>
      <c r="AB202" s="24">
        <f t="shared" si="81"/>
        <v>7.8571428571428568</v>
      </c>
      <c r="AD202" s="24" t="str">
        <f t="shared" si="82"/>
        <v>0.00549106355247002-0.0249912082302791i</v>
      </c>
      <c r="AE202" s="24" t="str">
        <f t="shared" si="83"/>
        <v>0.769070190855323-0.465529220129862i</v>
      </c>
      <c r="AF202" s="24" t="str">
        <f t="shared" si="71"/>
        <v>-0.0507988288026487-0.149263138007266i</v>
      </c>
      <c r="AG202" s="24">
        <f t="shared" si="84"/>
        <v>0.15767055963462853</v>
      </c>
      <c r="AH202" s="24">
        <f t="shared" si="90"/>
        <v>-1.8988312394712543</v>
      </c>
      <c r="AI202" s="24">
        <f t="shared" si="79"/>
        <v>-108.79501602929781</v>
      </c>
      <c r="AJ202" s="24">
        <f t="shared" si="91"/>
        <v>-16.044987817865536</v>
      </c>
      <c r="AL202" s="24" t="str">
        <f t="shared" si="92"/>
        <v>3.0476092825519E-08-0.000174574029846156i</v>
      </c>
      <c r="AM202" s="24" t="str">
        <f t="shared" si="93"/>
        <v>12.4234009957871+25.9622749904252i</v>
      </c>
      <c r="AN202" s="24" t="str">
        <f t="shared" si="94"/>
        <v>-1.52376463521783+0.728821037679199i</v>
      </c>
      <c r="AO202" s="24">
        <f t="shared" si="85"/>
        <v>1.6890940673936166</v>
      </c>
      <c r="AP202" s="24">
        <f t="shared" si="86"/>
        <v>2.695452902243237</v>
      </c>
      <c r="AQ202" s="24">
        <f t="shared" si="87"/>
        <v>154.43807517482634</v>
      </c>
      <c r="AR202" s="24">
        <f t="shared" si="88"/>
        <v>4.5530767310576161</v>
      </c>
      <c r="AS202" s="24">
        <f t="shared" si="95"/>
        <v>-11.491911086807921</v>
      </c>
      <c r="AT202" s="24">
        <f t="shared" si="96"/>
        <v>45.643059145528525</v>
      </c>
    </row>
    <row r="203" spans="4:46">
      <c r="D203" s="13"/>
      <c r="R203" s="12"/>
      <c r="S203" s="12"/>
      <c r="T203" s="12"/>
      <c r="U203" s="12"/>
      <c r="V203" s="12"/>
      <c r="W203" s="12"/>
      <c r="X203" s="12"/>
    </row>
    <row r="204" spans="4:46">
      <c r="D204" s="13"/>
    </row>
    <row r="205" spans="4:46">
      <c r="D205" s="13"/>
    </row>
    <row r="206" spans="4:46">
      <c r="D206" s="13"/>
    </row>
    <row r="207" spans="4:46">
      <c r="D207" s="13"/>
    </row>
    <row r="208" spans="4:46">
      <c r="D208" s="13"/>
    </row>
    <row r="209" spans="4:4">
      <c r="D209" s="13"/>
    </row>
    <row r="210" spans="4:4">
      <c r="D210" s="13"/>
    </row>
    <row r="211" spans="4:4">
      <c r="D211" s="13"/>
    </row>
    <row r="212" spans="4:4">
      <c r="D212" s="13"/>
    </row>
    <row r="213" spans="4:4">
      <c r="D213" s="13"/>
    </row>
    <row r="214" spans="4:4">
      <c r="D214" s="13"/>
    </row>
  </sheetData>
  <sheetProtection password="F725" sheet="1" objects="1" scenarios="1" selectLockedCells="1"/>
  <mergeCells count="2">
    <mergeCell ref="A49:D49"/>
    <mergeCell ref="A26:E26"/>
  </mergeCells>
  <conditionalFormatting sqref="E5">
    <cfRule type="notContainsBlanks" dxfId="0" priority="1">
      <formula>LEN(TRIM(E5))&gt;0</formula>
    </cfRule>
  </conditionalFormatting>
  <pageMargins left="0.7" right="0.7" top="0.75" bottom="0.75" header="0.3" footer="0.3"/>
  <pageSetup orientation="portrait" r:id="rId1"/>
  <ignoredErrors>
    <ignoredError sqref="B17:B18 B20 B23 B29 B37:B38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U49"/>
  <sheetViews>
    <sheetView zoomScale="80" zoomScaleNormal="80" workbookViewId="0">
      <selection activeCell="H5" sqref="H5"/>
    </sheetView>
  </sheetViews>
  <sheetFormatPr defaultRowHeight="15"/>
  <cols>
    <col min="1" max="1" width="2.85546875" style="54" customWidth="1"/>
    <col min="2" max="2" width="12.85546875" style="54" customWidth="1"/>
    <col min="3" max="3" width="18" style="54" customWidth="1"/>
    <col min="4" max="4" width="9.85546875" style="54" customWidth="1"/>
    <col min="5" max="5" width="11" style="54" hidden="1" customWidth="1"/>
    <col min="6" max="8" width="7.5703125" style="54" customWidth="1"/>
    <col min="9" max="9" width="6.7109375" style="54" bestFit="1" customWidth="1"/>
    <col min="10" max="18" width="6" style="54" bestFit="1" customWidth="1"/>
    <col min="19" max="256" width="9.140625" style="54"/>
    <col min="257" max="257" width="2.85546875" style="54" customWidth="1"/>
    <col min="258" max="258" width="12.85546875" style="54" customWidth="1"/>
    <col min="259" max="259" width="18" style="54" customWidth="1"/>
    <col min="260" max="260" width="9.85546875" style="54" customWidth="1"/>
    <col min="261" max="261" width="0" style="54" hidden="1" customWidth="1"/>
    <col min="262" max="264" width="7.5703125" style="54" customWidth="1"/>
    <col min="265" max="265" width="6.7109375" style="54" bestFit="1" customWidth="1"/>
    <col min="266" max="274" width="6" style="54" bestFit="1" customWidth="1"/>
    <col min="275" max="512" width="9.140625" style="54"/>
    <col min="513" max="513" width="2.85546875" style="54" customWidth="1"/>
    <col min="514" max="514" width="12.85546875" style="54" customWidth="1"/>
    <col min="515" max="515" width="18" style="54" customWidth="1"/>
    <col min="516" max="516" width="9.85546875" style="54" customWidth="1"/>
    <col min="517" max="517" width="0" style="54" hidden="1" customWidth="1"/>
    <col min="518" max="520" width="7.5703125" style="54" customWidth="1"/>
    <col min="521" max="521" width="6.7109375" style="54" bestFit="1" customWidth="1"/>
    <col min="522" max="530" width="6" style="54" bestFit="1" customWidth="1"/>
    <col min="531" max="768" width="9.140625" style="54"/>
    <col min="769" max="769" width="2.85546875" style="54" customWidth="1"/>
    <col min="770" max="770" width="12.85546875" style="54" customWidth="1"/>
    <col min="771" max="771" width="18" style="54" customWidth="1"/>
    <col min="772" max="772" width="9.85546875" style="54" customWidth="1"/>
    <col min="773" max="773" width="0" style="54" hidden="1" customWidth="1"/>
    <col min="774" max="776" width="7.5703125" style="54" customWidth="1"/>
    <col min="777" max="777" width="6.7109375" style="54" bestFit="1" customWidth="1"/>
    <col min="778" max="786" width="6" style="54" bestFit="1" customWidth="1"/>
    <col min="787" max="1024" width="9.140625" style="54"/>
    <col min="1025" max="1025" width="2.85546875" style="54" customWidth="1"/>
    <col min="1026" max="1026" width="12.85546875" style="54" customWidth="1"/>
    <col min="1027" max="1027" width="18" style="54" customWidth="1"/>
    <col min="1028" max="1028" width="9.85546875" style="54" customWidth="1"/>
    <col min="1029" max="1029" width="0" style="54" hidden="1" customWidth="1"/>
    <col min="1030" max="1032" width="7.5703125" style="54" customWidth="1"/>
    <col min="1033" max="1033" width="6.7109375" style="54" bestFit="1" customWidth="1"/>
    <col min="1034" max="1042" width="6" style="54" bestFit="1" customWidth="1"/>
    <col min="1043" max="1280" width="9.140625" style="54"/>
    <col min="1281" max="1281" width="2.85546875" style="54" customWidth="1"/>
    <col min="1282" max="1282" width="12.85546875" style="54" customWidth="1"/>
    <col min="1283" max="1283" width="18" style="54" customWidth="1"/>
    <col min="1284" max="1284" width="9.85546875" style="54" customWidth="1"/>
    <col min="1285" max="1285" width="0" style="54" hidden="1" customWidth="1"/>
    <col min="1286" max="1288" width="7.5703125" style="54" customWidth="1"/>
    <col min="1289" max="1289" width="6.7109375" style="54" bestFit="1" customWidth="1"/>
    <col min="1290" max="1298" width="6" style="54" bestFit="1" customWidth="1"/>
    <col min="1299" max="1536" width="9.140625" style="54"/>
    <col min="1537" max="1537" width="2.85546875" style="54" customWidth="1"/>
    <col min="1538" max="1538" width="12.85546875" style="54" customWidth="1"/>
    <col min="1539" max="1539" width="18" style="54" customWidth="1"/>
    <col min="1540" max="1540" width="9.85546875" style="54" customWidth="1"/>
    <col min="1541" max="1541" width="0" style="54" hidden="1" customWidth="1"/>
    <col min="1542" max="1544" width="7.5703125" style="54" customWidth="1"/>
    <col min="1545" max="1545" width="6.7109375" style="54" bestFit="1" customWidth="1"/>
    <col min="1546" max="1554" width="6" style="54" bestFit="1" customWidth="1"/>
    <col min="1555" max="1792" width="9.140625" style="54"/>
    <col min="1793" max="1793" width="2.85546875" style="54" customWidth="1"/>
    <col min="1794" max="1794" width="12.85546875" style="54" customWidth="1"/>
    <col min="1795" max="1795" width="18" style="54" customWidth="1"/>
    <col min="1796" max="1796" width="9.85546875" style="54" customWidth="1"/>
    <col min="1797" max="1797" width="0" style="54" hidden="1" customWidth="1"/>
    <col min="1798" max="1800" width="7.5703125" style="54" customWidth="1"/>
    <col min="1801" max="1801" width="6.7109375" style="54" bestFit="1" customWidth="1"/>
    <col min="1802" max="1810" width="6" style="54" bestFit="1" customWidth="1"/>
    <col min="1811" max="2048" width="9.140625" style="54"/>
    <col min="2049" max="2049" width="2.85546875" style="54" customWidth="1"/>
    <col min="2050" max="2050" width="12.85546875" style="54" customWidth="1"/>
    <col min="2051" max="2051" width="18" style="54" customWidth="1"/>
    <col min="2052" max="2052" width="9.85546875" style="54" customWidth="1"/>
    <col min="2053" max="2053" width="0" style="54" hidden="1" customWidth="1"/>
    <col min="2054" max="2056" width="7.5703125" style="54" customWidth="1"/>
    <col min="2057" max="2057" width="6.7109375" style="54" bestFit="1" customWidth="1"/>
    <col min="2058" max="2066" width="6" style="54" bestFit="1" customWidth="1"/>
    <col min="2067" max="2304" width="9.140625" style="54"/>
    <col min="2305" max="2305" width="2.85546875" style="54" customWidth="1"/>
    <col min="2306" max="2306" width="12.85546875" style="54" customWidth="1"/>
    <col min="2307" max="2307" width="18" style="54" customWidth="1"/>
    <col min="2308" max="2308" width="9.85546875" style="54" customWidth="1"/>
    <col min="2309" max="2309" width="0" style="54" hidden="1" customWidth="1"/>
    <col min="2310" max="2312" width="7.5703125" style="54" customWidth="1"/>
    <col min="2313" max="2313" width="6.7109375" style="54" bestFit="1" customWidth="1"/>
    <col min="2314" max="2322" width="6" style="54" bestFit="1" customWidth="1"/>
    <col min="2323" max="2560" width="9.140625" style="54"/>
    <col min="2561" max="2561" width="2.85546875" style="54" customWidth="1"/>
    <col min="2562" max="2562" width="12.85546875" style="54" customWidth="1"/>
    <col min="2563" max="2563" width="18" style="54" customWidth="1"/>
    <col min="2564" max="2564" width="9.85546875" style="54" customWidth="1"/>
    <col min="2565" max="2565" width="0" style="54" hidden="1" customWidth="1"/>
    <col min="2566" max="2568" width="7.5703125" style="54" customWidth="1"/>
    <col min="2569" max="2569" width="6.7109375" style="54" bestFit="1" customWidth="1"/>
    <col min="2570" max="2578" width="6" style="54" bestFit="1" customWidth="1"/>
    <col min="2579" max="2816" width="9.140625" style="54"/>
    <col min="2817" max="2817" width="2.85546875" style="54" customWidth="1"/>
    <col min="2818" max="2818" width="12.85546875" style="54" customWidth="1"/>
    <col min="2819" max="2819" width="18" style="54" customWidth="1"/>
    <col min="2820" max="2820" width="9.85546875" style="54" customWidth="1"/>
    <col min="2821" max="2821" width="0" style="54" hidden="1" customWidth="1"/>
    <col min="2822" max="2824" width="7.5703125" style="54" customWidth="1"/>
    <col min="2825" max="2825" width="6.7109375" style="54" bestFit="1" customWidth="1"/>
    <col min="2826" max="2834" width="6" style="54" bestFit="1" customWidth="1"/>
    <col min="2835" max="3072" width="9.140625" style="54"/>
    <col min="3073" max="3073" width="2.85546875" style="54" customWidth="1"/>
    <col min="3074" max="3074" width="12.85546875" style="54" customWidth="1"/>
    <col min="3075" max="3075" width="18" style="54" customWidth="1"/>
    <col min="3076" max="3076" width="9.85546875" style="54" customWidth="1"/>
    <col min="3077" max="3077" width="0" style="54" hidden="1" customWidth="1"/>
    <col min="3078" max="3080" width="7.5703125" style="54" customWidth="1"/>
    <col min="3081" max="3081" width="6.7109375" style="54" bestFit="1" customWidth="1"/>
    <col min="3082" max="3090" width="6" style="54" bestFit="1" customWidth="1"/>
    <col min="3091" max="3328" width="9.140625" style="54"/>
    <col min="3329" max="3329" width="2.85546875" style="54" customWidth="1"/>
    <col min="3330" max="3330" width="12.85546875" style="54" customWidth="1"/>
    <col min="3331" max="3331" width="18" style="54" customWidth="1"/>
    <col min="3332" max="3332" width="9.85546875" style="54" customWidth="1"/>
    <col min="3333" max="3333" width="0" style="54" hidden="1" customWidth="1"/>
    <col min="3334" max="3336" width="7.5703125" style="54" customWidth="1"/>
    <col min="3337" max="3337" width="6.7109375" style="54" bestFit="1" customWidth="1"/>
    <col min="3338" max="3346" width="6" style="54" bestFit="1" customWidth="1"/>
    <col min="3347" max="3584" width="9.140625" style="54"/>
    <col min="3585" max="3585" width="2.85546875" style="54" customWidth="1"/>
    <col min="3586" max="3586" width="12.85546875" style="54" customWidth="1"/>
    <col min="3587" max="3587" width="18" style="54" customWidth="1"/>
    <col min="3588" max="3588" width="9.85546875" style="54" customWidth="1"/>
    <col min="3589" max="3589" width="0" style="54" hidden="1" customWidth="1"/>
    <col min="3590" max="3592" width="7.5703125" style="54" customWidth="1"/>
    <col min="3593" max="3593" width="6.7109375" style="54" bestFit="1" customWidth="1"/>
    <col min="3594" max="3602" width="6" style="54" bestFit="1" customWidth="1"/>
    <col min="3603" max="3840" width="9.140625" style="54"/>
    <col min="3841" max="3841" width="2.85546875" style="54" customWidth="1"/>
    <col min="3842" max="3842" width="12.85546875" style="54" customWidth="1"/>
    <col min="3843" max="3843" width="18" style="54" customWidth="1"/>
    <col min="3844" max="3844" width="9.85546875" style="54" customWidth="1"/>
    <col min="3845" max="3845" width="0" style="54" hidden="1" customWidth="1"/>
    <col min="3846" max="3848" width="7.5703125" style="54" customWidth="1"/>
    <col min="3849" max="3849" width="6.7109375" style="54" bestFit="1" customWidth="1"/>
    <col min="3850" max="3858" width="6" style="54" bestFit="1" customWidth="1"/>
    <col min="3859" max="4096" width="9.140625" style="54"/>
    <col min="4097" max="4097" width="2.85546875" style="54" customWidth="1"/>
    <col min="4098" max="4098" width="12.85546875" style="54" customWidth="1"/>
    <col min="4099" max="4099" width="18" style="54" customWidth="1"/>
    <col min="4100" max="4100" width="9.85546875" style="54" customWidth="1"/>
    <col min="4101" max="4101" width="0" style="54" hidden="1" customWidth="1"/>
    <col min="4102" max="4104" width="7.5703125" style="54" customWidth="1"/>
    <col min="4105" max="4105" width="6.7109375" style="54" bestFit="1" customWidth="1"/>
    <col min="4106" max="4114" width="6" style="54" bestFit="1" customWidth="1"/>
    <col min="4115" max="4352" width="9.140625" style="54"/>
    <col min="4353" max="4353" width="2.85546875" style="54" customWidth="1"/>
    <col min="4354" max="4354" width="12.85546875" style="54" customWidth="1"/>
    <col min="4355" max="4355" width="18" style="54" customWidth="1"/>
    <col min="4356" max="4356" width="9.85546875" style="54" customWidth="1"/>
    <col min="4357" max="4357" width="0" style="54" hidden="1" customWidth="1"/>
    <col min="4358" max="4360" width="7.5703125" style="54" customWidth="1"/>
    <col min="4361" max="4361" width="6.7109375" style="54" bestFit="1" customWidth="1"/>
    <col min="4362" max="4370" width="6" style="54" bestFit="1" customWidth="1"/>
    <col min="4371" max="4608" width="9.140625" style="54"/>
    <col min="4609" max="4609" width="2.85546875" style="54" customWidth="1"/>
    <col min="4610" max="4610" width="12.85546875" style="54" customWidth="1"/>
    <col min="4611" max="4611" width="18" style="54" customWidth="1"/>
    <col min="4612" max="4612" width="9.85546875" style="54" customWidth="1"/>
    <col min="4613" max="4613" width="0" style="54" hidden="1" customWidth="1"/>
    <col min="4614" max="4616" width="7.5703125" style="54" customWidth="1"/>
    <col min="4617" max="4617" width="6.7109375" style="54" bestFit="1" customWidth="1"/>
    <col min="4618" max="4626" width="6" style="54" bestFit="1" customWidth="1"/>
    <col min="4627" max="4864" width="9.140625" style="54"/>
    <col min="4865" max="4865" width="2.85546875" style="54" customWidth="1"/>
    <col min="4866" max="4866" width="12.85546875" style="54" customWidth="1"/>
    <col min="4867" max="4867" width="18" style="54" customWidth="1"/>
    <col min="4868" max="4868" width="9.85546875" style="54" customWidth="1"/>
    <col min="4869" max="4869" width="0" style="54" hidden="1" customWidth="1"/>
    <col min="4870" max="4872" width="7.5703125" style="54" customWidth="1"/>
    <col min="4873" max="4873" width="6.7109375" style="54" bestFit="1" customWidth="1"/>
    <col min="4874" max="4882" width="6" style="54" bestFit="1" customWidth="1"/>
    <col min="4883" max="5120" width="9.140625" style="54"/>
    <col min="5121" max="5121" width="2.85546875" style="54" customWidth="1"/>
    <col min="5122" max="5122" width="12.85546875" style="54" customWidth="1"/>
    <col min="5123" max="5123" width="18" style="54" customWidth="1"/>
    <col min="5124" max="5124" width="9.85546875" style="54" customWidth="1"/>
    <col min="5125" max="5125" width="0" style="54" hidden="1" customWidth="1"/>
    <col min="5126" max="5128" width="7.5703125" style="54" customWidth="1"/>
    <col min="5129" max="5129" width="6.7109375" style="54" bestFit="1" customWidth="1"/>
    <col min="5130" max="5138" width="6" style="54" bestFit="1" customWidth="1"/>
    <col min="5139" max="5376" width="9.140625" style="54"/>
    <col min="5377" max="5377" width="2.85546875" style="54" customWidth="1"/>
    <col min="5378" max="5378" width="12.85546875" style="54" customWidth="1"/>
    <col min="5379" max="5379" width="18" style="54" customWidth="1"/>
    <col min="5380" max="5380" width="9.85546875" style="54" customWidth="1"/>
    <col min="5381" max="5381" width="0" style="54" hidden="1" customWidth="1"/>
    <col min="5382" max="5384" width="7.5703125" style="54" customWidth="1"/>
    <col min="5385" max="5385" width="6.7109375" style="54" bestFit="1" customWidth="1"/>
    <col min="5386" max="5394" width="6" style="54" bestFit="1" customWidth="1"/>
    <col min="5395" max="5632" width="9.140625" style="54"/>
    <col min="5633" max="5633" width="2.85546875" style="54" customWidth="1"/>
    <col min="5634" max="5634" width="12.85546875" style="54" customWidth="1"/>
    <col min="5635" max="5635" width="18" style="54" customWidth="1"/>
    <col min="5636" max="5636" width="9.85546875" style="54" customWidth="1"/>
    <col min="5637" max="5637" width="0" style="54" hidden="1" customWidth="1"/>
    <col min="5638" max="5640" width="7.5703125" style="54" customWidth="1"/>
    <col min="5641" max="5641" width="6.7109375" style="54" bestFit="1" customWidth="1"/>
    <col min="5642" max="5650" width="6" style="54" bestFit="1" customWidth="1"/>
    <col min="5651" max="5888" width="9.140625" style="54"/>
    <col min="5889" max="5889" width="2.85546875" style="54" customWidth="1"/>
    <col min="5890" max="5890" width="12.85546875" style="54" customWidth="1"/>
    <col min="5891" max="5891" width="18" style="54" customWidth="1"/>
    <col min="5892" max="5892" width="9.85546875" style="54" customWidth="1"/>
    <col min="5893" max="5893" width="0" style="54" hidden="1" customWidth="1"/>
    <col min="5894" max="5896" width="7.5703125" style="54" customWidth="1"/>
    <col min="5897" max="5897" width="6.7109375" style="54" bestFit="1" customWidth="1"/>
    <col min="5898" max="5906" width="6" style="54" bestFit="1" customWidth="1"/>
    <col min="5907" max="6144" width="9.140625" style="54"/>
    <col min="6145" max="6145" width="2.85546875" style="54" customWidth="1"/>
    <col min="6146" max="6146" width="12.85546875" style="54" customWidth="1"/>
    <col min="6147" max="6147" width="18" style="54" customWidth="1"/>
    <col min="6148" max="6148" width="9.85546875" style="54" customWidth="1"/>
    <col min="6149" max="6149" width="0" style="54" hidden="1" customWidth="1"/>
    <col min="6150" max="6152" width="7.5703125" style="54" customWidth="1"/>
    <col min="6153" max="6153" width="6.7109375" style="54" bestFit="1" customWidth="1"/>
    <col min="6154" max="6162" width="6" style="54" bestFit="1" customWidth="1"/>
    <col min="6163" max="6400" width="9.140625" style="54"/>
    <col min="6401" max="6401" width="2.85546875" style="54" customWidth="1"/>
    <col min="6402" max="6402" width="12.85546875" style="54" customWidth="1"/>
    <col min="6403" max="6403" width="18" style="54" customWidth="1"/>
    <col min="6404" max="6404" width="9.85546875" style="54" customWidth="1"/>
    <col min="6405" max="6405" width="0" style="54" hidden="1" customWidth="1"/>
    <col min="6406" max="6408" width="7.5703125" style="54" customWidth="1"/>
    <col min="6409" max="6409" width="6.7109375" style="54" bestFit="1" customWidth="1"/>
    <col min="6410" max="6418" width="6" style="54" bestFit="1" customWidth="1"/>
    <col min="6419" max="6656" width="9.140625" style="54"/>
    <col min="6657" max="6657" width="2.85546875" style="54" customWidth="1"/>
    <col min="6658" max="6658" width="12.85546875" style="54" customWidth="1"/>
    <col min="6659" max="6659" width="18" style="54" customWidth="1"/>
    <col min="6660" max="6660" width="9.85546875" style="54" customWidth="1"/>
    <col min="6661" max="6661" width="0" style="54" hidden="1" customWidth="1"/>
    <col min="6662" max="6664" width="7.5703125" style="54" customWidth="1"/>
    <col min="6665" max="6665" width="6.7109375" style="54" bestFit="1" customWidth="1"/>
    <col min="6666" max="6674" width="6" style="54" bestFit="1" customWidth="1"/>
    <col min="6675" max="6912" width="9.140625" style="54"/>
    <col min="6913" max="6913" width="2.85546875" style="54" customWidth="1"/>
    <col min="6914" max="6914" width="12.85546875" style="54" customWidth="1"/>
    <col min="6915" max="6915" width="18" style="54" customWidth="1"/>
    <col min="6916" max="6916" width="9.85546875" style="54" customWidth="1"/>
    <col min="6917" max="6917" width="0" style="54" hidden="1" customWidth="1"/>
    <col min="6918" max="6920" width="7.5703125" style="54" customWidth="1"/>
    <col min="6921" max="6921" width="6.7109375" style="54" bestFit="1" customWidth="1"/>
    <col min="6922" max="6930" width="6" style="54" bestFit="1" customWidth="1"/>
    <col min="6931" max="7168" width="9.140625" style="54"/>
    <col min="7169" max="7169" width="2.85546875" style="54" customWidth="1"/>
    <col min="7170" max="7170" width="12.85546875" style="54" customWidth="1"/>
    <col min="7171" max="7171" width="18" style="54" customWidth="1"/>
    <col min="7172" max="7172" width="9.85546875" style="54" customWidth="1"/>
    <col min="7173" max="7173" width="0" style="54" hidden="1" customWidth="1"/>
    <col min="7174" max="7176" width="7.5703125" style="54" customWidth="1"/>
    <col min="7177" max="7177" width="6.7109375" style="54" bestFit="1" customWidth="1"/>
    <col min="7178" max="7186" width="6" style="54" bestFit="1" customWidth="1"/>
    <col min="7187" max="7424" width="9.140625" style="54"/>
    <col min="7425" max="7425" width="2.85546875" style="54" customWidth="1"/>
    <col min="7426" max="7426" width="12.85546875" style="54" customWidth="1"/>
    <col min="7427" max="7427" width="18" style="54" customWidth="1"/>
    <col min="7428" max="7428" width="9.85546875" style="54" customWidth="1"/>
    <col min="7429" max="7429" width="0" style="54" hidden="1" customWidth="1"/>
    <col min="7430" max="7432" width="7.5703125" style="54" customWidth="1"/>
    <col min="7433" max="7433" width="6.7109375" style="54" bestFit="1" customWidth="1"/>
    <col min="7434" max="7442" width="6" style="54" bestFit="1" customWidth="1"/>
    <col min="7443" max="7680" width="9.140625" style="54"/>
    <col min="7681" max="7681" width="2.85546875" style="54" customWidth="1"/>
    <col min="7682" max="7682" width="12.85546875" style="54" customWidth="1"/>
    <col min="7683" max="7683" width="18" style="54" customWidth="1"/>
    <col min="7684" max="7684" width="9.85546875" style="54" customWidth="1"/>
    <col min="7685" max="7685" width="0" style="54" hidden="1" customWidth="1"/>
    <col min="7686" max="7688" width="7.5703125" style="54" customWidth="1"/>
    <col min="7689" max="7689" width="6.7109375" style="54" bestFit="1" customWidth="1"/>
    <col min="7690" max="7698" width="6" style="54" bestFit="1" customWidth="1"/>
    <col min="7699" max="7936" width="9.140625" style="54"/>
    <col min="7937" max="7937" width="2.85546875" style="54" customWidth="1"/>
    <col min="7938" max="7938" width="12.85546875" style="54" customWidth="1"/>
    <col min="7939" max="7939" width="18" style="54" customWidth="1"/>
    <col min="7940" max="7940" width="9.85546875" style="54" customWidth="1"/>
    <col min="7941" max="7941" width="0" style="54" hidden="1" customWidth="1"/>
    <col min="7942" max="7944" width="7.5703125" style="54" customWidth="1"/>
    <col min="7945" max="7945" width="6.7109375" style="54" bestFit="1" customWidth="1"/>
    <col min="7946" max="7954" width="6" style="54" bestFit="1" customWidth="1"/>
    <col min="7955" max="8192" width="9.140625" style="54"/>
    <col min="8193" max="8193" width="2.85546875" style="54" customWidth="1"/>
    <col min="8194" max="8194" width="12.85546875" style="54" customWidth="1"/>
    <col min="8195" max="8195" width="18" style="54" customWidth="1"/>
    <col min="8196" max="8196" width="9.85546875" style="54" customWidth="1"/>
    <col min="8197" max="8197" width="0" style="54" hidden="1" customWidth="1"/>
    <col min="8198" max="8200" width="7.5703125" style="54" customWidth="1"/>
    <col min="8201" max="8201" width="6.7109375" style="54" bestFit="1" customWidth="1"/>
    <col min="8202" max="8210" width="6" style="54" bestFit="1" customWidth="1"/>
    <col min="8211" max="8448" width="9.140625" style="54"/>
    <col min="8449" max="8449" width="2.85546875" style="54" customWidth="1"/>
    <col min="8450" max="8450" width="12.85546875" style="54" customWidth="1"/>
    <col min="8451" max="8451" width="18" style="54" customWidth="1"/>
    <col min="8452" max="8452" width="9.85546875" style="54" customWidth="1"/>
    <col min="8453" max="8453" width="0" style="54" hidden="1" customWidth="1"/>
    <col min="8454" max="8456" width="7.5703125" style="54" customWidth="1"/>
    <col min="8457" max="8457" width="6.7109375" style="54" bestFit="1" customWidth="1"/>
    <col min="8458" max="8466" width="6" style="54" bestFit="1" customWidth="1"/>
    <col min="8467" max="8704" width="9.140625" style="54"/>
    <col min="8705" max="8705" width="2.85546875" style="54" customWidth="1"/>
    <col min="8706" max="8706" width="12.85546875" style="54" customWidth="1"/>
    <col min="8707" max="8707" width="18" style="54" customWidth="1"/>
    <col min="8708" max="8708" width="9.85546875" style="54" customWidth="1"/>
    <col min="8709" max="8709" width="0" style="54" hidden="1" customWidth="1"/>
    <col min="8710" max="8712" width="7.5703125" style="54" customWidth="1"/>
    <col min="8713" max="8713" width="6.7109375" style="54" bestFit="1" customWidth="1"/>
    <col min="8714" max="8722" width="6" style="54" bestFit="1" customWidth="1"/>
    <col min="8723" max="8960" width="9.140625" style="54"/>
    <col min="8961" max="8961" width="2.85546875" style="54" customWidth="1"/>
    <col min="8962" max="8962" width="12.85546875" style="54" customWidth="1"/>
    <col min="8963" max="8963" width="18" style="54" customWidth="1"/>
    <col min="8964" max="8964" width="9.85546875" style="54" customWidth="1"/>
    <col min="8965" max="8965" width="0" style="54" hidden="1" customWidth="1"/>
    <col min="8966" max="8968" width="7.5703125" style="54" customWidth="1"/>
    <col min="8969" max="8969" width="6.7109375" style="54" bestFit="1" customWidth="1"/>
    <col min="8970" max="8978" width="6" style="54" bestFit="1" customWidth="1"/>
    <col min="8979" max="9216" width="9.140625" style="54"/>
    <col min="9217" max="9217" width="2.85546875" style="54" customWidth="1"/>
    <col min="9218" max="9218" width="12.85546875" style="54" customWidth="1"/>
    <col min="9219" max="9219" width="18" style="54" customWidth="1"/>
    <col min="9220" max="9220" width="9.85546875" style="54" customWidth="1"/>
    <col min="9221" max="9221" width="0" style="54" hidden="1" customWidth="1"/>
    <col min="9222" max="9224" width="7.5703125" style="54" customWidth="1"/>
    <col min="9225" max="9225" width="6.7109375" style="54" bestFit="1" customWidth="1"/>
    <col min="9226" max="9234" width="6" style="54" bestFit="1" customWidth="1"/>
    <col min="9235" max="9472" width="9.140625" style="54"/>
    <col min="9473" max="9473" width="2.85546875" style="54" customWidth="1"/>
    <col min="9474" max="9474" width="12.85546875" style="54" customWidth="1"/>
    <col min="9475" max="9475" width="18" style="54" customWidth="1"/>
    <col min="9476" max="9476" width="9.85546875" style="54" customWidth="1"/>
    <col min="9477" max="9477" width="0" style="54" hidden="1" customWidth="1"/>
    <col min="9478" max="9480" width="7.5703125" style="54" customWidth="1"/>
    <col min="9481" max="9481" width="6.7109375" style="54" bestFit="1" customWidth="1"/>
    <col min="9482" max="9490" width="6" style="54" bestFit="1" customWidth="1"/>
    <col min="9491" max="9728" width="9.140625" style="54"/>
    <col min="9729" max="9729" width="2.85546875" style="54" customWidth="1"/>
    <col min="9730" max="9730" width="12.85546875" style="54" customWidth="1"/>
    <col min="9731" max="9731" width="18" style="54" customWidth="1"/>
    <col min="9732" max="9732" width="9.85546875" style="54" customWidth="1"/>
    <col min="9733" max="9733" width="0" style="54" hidden="1" customWidth="1"/>
    <col min="9734" max="9736" width="7.5703125" style="54" customWidth="1"/>
    <col min="9737" max="9737" width="6.7109375" style="54" bestFit="1" customWidth="1"/>
    <col min="9738" max="9746" width="6" style="54" bestFit="1" customWidth="1"/>
    <col min="9747" max="9984" width="9.140625" style="54"/>
    <col min="9985" max="9985" width="2.85546875" style="54" customWidth="1"/>
    <col min="9986" max="9986" width="12.85546875" style="54" customWidth="1"/>
    <col min="9987" max="9987" width="18" style="54" customWidth="1"/>
    <col min="9988" max="9988" width="9.85546875" style="54" customWidth="1"/>
    <col min="9989" max="9989" width="0" style="54" hidden="1" customWidth="1"/>
    <col min="9990" max="9992" width="7.5703125" style="54" customWidth="1"/>
    <col min="9993" max="9993" width="6.7109375" style="54" bestFit="1" customWidth="1"/>
    <col min="9994" max="10002" width="6" style="54" bestFit="1" customWidth="1"/>
    <col min="10003" max="10240" width="9.140625" style="54"/>
    <col min="10241" max="10241" width="2.85546875" style="54" customWidth="1"/>
    <col min="10242" max="10242" width="12.85546875" style="54" customWidth="1"/>
    <col min="10243" max="10243" width="18" style="54" customWidth="1"/>
    <col min="10244" max="10244" width="9.85546875" style="54" customWidth="1"/>
    <col min="10245" max="10245" width="0" style="54" hidden="1" customWidth="1"/>
    <col min="10246" max="10248" width="7.5703125" style="54" customWidth="1"/>
    <col min="10249" max="10249" width="6.7109375" style="54" bestFit="1" customWidth="1"/>
    <col min="10250" max="10258" width="6" style="54" bestFit="1" customWidth="1"/>
    <col min="10259" max="10496" width="9.140625" style="54"/>
    <col min="10497" max="10497" width="2.85546875" style="54" customWidth="1"/>
    <col min="10498" max="10498" width="12.85546875" style="54" customWidth="1"/>
    <col min="10499" max="10499" width="18" style="54" customWidth="1"/>
    <col min="10500" max="10500" width="9.85546875" style="54" customWidth="1"/>
    <col min="10501" max="10501" width="0" style="54" hidden="1" customWidth="1"/>
    <col min="10502" max="10504" width="7.5703125" style="54" customWidth="1"/>
    <col min="10505" max="10505" width="6.7109375" style="54" bestFit="1" customWidth="1"/>
    <col min="10506" max="10514" width="6" style="54" bestFit="1" customWidth="1"/>
    <col min="10515" max="10752" width="9.140625" style="54"/>
    <col min="10753" max="10753" width="2.85546875" style="54" customWidth="1"/>
    <col min="10754" max="10754" width="12.85546875" style="54" customWidth="1"/>
    <col min="10755" max="10755" width="18" style="54" customWidth="1"/>
    <col min="10756" max="10756" width="9.85546875" style="54" customWidth="1"/>
    <col min="10757" max="10757" width="0" style="54" hidden="1" customWidth="1"/>
    <col min="10758" max="10760" width="7.5703125" style="54" customWidth="1"/>
    <col min="10761" max="10761" width="6.7109375" style="54" bestFit="1" customWidth="1"/>
    <col min="10762" max="10770" width="6" style="54" bestFit="1" customWidth="1"/>
    <col min="10771" max="11008" width="9.140625" style="54"/>
    <col min="11009" max="11009" width="2.85546875" style="54" customWidth="1"/>
    <col min="11010" max="11010" width="12.85546875" style="54" customWidth="1"/>
    <col min="11011" max="11011" width="18" style="54" customWidth="1"/>
    <col min="11012" max="11012" width="9.85546875" style="54" customWidth="1"/>
    <col min="11013" max="11013" width="0" style="54" hidden="1" customWidth="1"/>
    <col min="11014" max="11016" width="7.5703125" style="54" customWidth="1"/>
    <col min="11017" max="11017" width="6.7109375" style="54" bestFit="1" customWidth="1"/>
    <col min="11018" max="11026" width="6" style="54" bestFit="1" customWidth="1"/>
    <col min="11027" max="11264" width="9.140625" style="54"/>
    <col min="11265" max="11265" width="2.85546875" style="54" customWidth="1"/>
    <col min="11266" max="11266" width="12.85546875" style="54" customWidth="1"/>
    <col min="11267" max="11267" width="18" style="54" customWidth="1"/>
    <col min="11268" max="11268" width="9.85546875" style="54" customWidth="1"/>
    <col min="11269" max="11269" width="0" style="54" hidden="1" customWidth="1"/>
    <col min="11270" max="11272" width="7.5703125" style="54" customWidth="1"/>
    <col min="11273" max="11273" width="6.7109375" style="54" bestFit="1" customWidth="1"/>
    <col min="11274" max="11282" width="6" style="54" bestFit="1" customWidth="1"/>
    <col min="11283" max="11520" width="9.140625" style="54"/>
    <col min="11521" max="11521" width="2.85546875" style="54" customWidth="1"/>
    <col min="11522" max="11522" width="12.85546875" style="54" customWidth="1"/>
    <col min="11523" max="11523" width="18" style="54" customWidth="1"/>
    <col min="11524" max="11524" width="9.85546875" style="54" customWidth="1"/>
    <col min="11525" max="11525" width="0" style="54" hidden="1" customWidth="1"/>
    <col min="11526" max="11528" width="7.5703125" style="54" customWidth="1"/>
    <col min="11529" max="11529" width="6.7109375" style="54" bestFit="1" customWidth="1"/>
    <col min="11530" max="11538" width="6" style="54" bestFit="1" customWidth="1"/>
    <col min="11539" max="11776" width="9.140625" style="54"/>
    <col min="11777" max="11777" width="2.85546875" style="54" customWidth="1"/>
    <col min="11778" max="11778" width="12.85546875" style="54" customWidth="1"/>
    <col min="11779" max="11779" width="18" style="54" customWidth="1"/>
    <col min="11780" max="11780" width="9.85546875" style="54" customWidth="1"/>
    <col min="11781" max="11781" width="0" style="54" hidden="1" customWidth="1"/>
    <col min="11782" max="11784" width="7.5703125" style="54" customWidth="1"/>
    <col min="11785" max="11785" width="6.7109375" style="54" bestFit="1" customWidth="1"/>
    <col min="11786" max="11794" width="6" style="54" bestFit="1" customWidth="1"/>
    <col min="11795" max="12032" width="9.140625" style="54"/>
    <col min="12033" max="12033" width="2.85546875" style="54" customWidth="1"/>
    <col min="12034" max="12034" width="12.85546875" style="54" customWidth="1"/>
    <col min="12035" max="12035" width="18" style="54" customWidth="1"/>
    <col min="12036" max="12036" width="9.85546875" style="54" customWidth="1"/>
    <col min="12037" max="12037" width="0" style="54" hidden="1" customWidth="1"/>
    <col min="12038" max="12040" width="7.5703125" style="54" customWidth="1"/>
    <col min="12041" max="12041" width="6.7109375" style="54" bestFit="1" customWidth="1"/>
    <col min="12042" max="12050" width="6" style="54" bestFit="1" customWidth="1"/>
    <col min="12051" max="12288" width="9.140625" style="54"/>
    <col min="12289" max="12289" width="2.85546875" style="54" customWidth="1"/>
    <col min="12290" max="12290" width="12.85546875" style="54" customWidth="1"/>
    <col min="12291" max="12291" width="18" style="54" customWidth="1"/>
    <col min="12292" max="12292" width="9.85546875" style="54" customWidth="1"/>
    <col min="12293" max="12293" width="0" style="54" hidden="1" customWidth="1"/>
    <col min="12294" max="12296" width="7.5703125" style="54" customWidth="1"/>
    <col min="12297" max="12297" width="6.7109375" style="54" bestFit="1" customWidth="1"/>
    <col min="12298" max="12306" width="6" style="54" bestFit="1" customWidth="1"/>
    <col min="12307" max="12544" width="9.140625" style="54"/>
    <col min="12545" max="12545" width="2.85546875" style="54" customWidth="1"/>
    <col min="12546" max="12546" width="12.85546875" style="54" customWidth="1"/>
    <col min="12547" max="12547" width="18" style="54" customWidth="1"/>
    <col min="12548" max="12548" width="9.85546875" style="54" customWidth="1"/>
    <col min="12549" max="12549" width="0" style="54" hidden="1" customWidth="1"/>
    <col min="12550" max="12552" width="7.5703125" style="54" customWidth="1"/>
    <col min="12553" max="12553" width="6.7109375" style="54" bestFit="1" customWidth="1"/>
    <col min="12554" max="12562" width="6" style="54" bestFit="1" customWidth="1"/>
    <col min="12563" max="12800" width="9.140625" style="54"/>
    <col min="12801" max="12801" width="2.85546875" style="54" customWidth="1"/>
    <col min="12802" max="12802" width="12.85546875" style="54" customWidth="1"/>
    <col min="12803" max="12803" width="18" style="54" customWidth="1"/>
    <col min="12804" max="12804" width="9.85546875" style="54" customWidth="1"/>
    <col min="12805" max="12805" width="0" style="54" hidden="1" customWidth="1"/>
    <col min="12806" max="12808" width="7.5703125" style="54" customWidth="1"/>
    <col min="12809" max="12809" width="6.7109375" style="54" bestFit="1" customWidth="1"/>
    <col min="12810" max="12818" width="6" style="54" bestFit="1" customWidth="1"/>
    <col min="12819" max="13056" width="9.140625" style="54"/>
    <col min="13057" max="13057" width="2.85546875" style="54" customWidth="1"/>
    <col min="13058" max="13058" width="12.85546875" style="54" customWidth="1"/>
    <col min="13059" max="13059" width="18" style="54" customWidth="1"/>
    <col min="13060" max="13060" width="9.85546875" style="54" customWidth="1"/>
    <col min="13061" max="13061" width="0" style="54" hidden="1" customWidth="1"/>
    <col min="13062" max="13064" width="7.5703125" style="54" customWidth="1"/>
    <col min="13065" max="13065" width="6.7109375" style="54" bestFit="1" customWidth="1"/>
    <col min="13066" max="13074" width="6" style="54" bestFit="1" customWidth="1"/>
    <col min="13075" max="13312" width="9.140625" style="54"/>
    <col min="13313" max="13313" width="2.85546875" style="54" customWidth="1"/>
    <col min="13314" max="13314" width="12.85546875" style="54" customWidth="1"/>
    <col min="13315" max="13315" width="18" style="54" customWidth="1"/>
    <col min="13316" max="13316" width="9.85546875" style="54" customWidth="1"/>
    <col min="13317" max="13317" width="0" style="54" hidden="1" customWidth="1"/>
    <col min="13318" max="13320" width="7.5703125" style="54" customWidth="1"/>
    <col min="13321" max="13321" width="6.7109375" style="54" bestFit="1" customWidth="1"/>
    <col min="13322" max="13330" width="6" style="54" bestFit="1" customWidth="1"/>
    <col min="13331" max="13568" width="9.140625" style="54"/>
    <col min="13569" max="13569" width="2.85546875" style="54" customWidth="1"/>
    <col min="13570" max="13570" width="12.85546875" style="54" customWidth="1"/>
    <col min="13571" max="13571" width="18" style="54" customWidth="1"/>
    <col min="13572" max="13572" width="9.85546875" style="54" customWidth="1"/>
    <col min="13573" max="13573" width="0" style="54" hidden="1" customWidth="1"/>
    <col min="13574" max="13576" width="7.5703125" style="54" customWidth="1"/>
    <col min="13577" max="13577" width="6.7109375" style="54" bestFit="1" customWidth="1"/>
    <col min="13578" max="13586" width="6" style="54" bestFit="1" customWidth="1"/>
    <col min="13587" max="13824" width="9.140625" style="54"/>
    <col min="13825" max="13825" width="2.85546875" style="54" customWidth="1"/>
    <col min="13826" max="13826" width="12.85546875" style="54" customWidth="1"/>
    <col min="13827" max="13827" width="18" style="54" customWidth="1"/>
    <col min="13828" max="13828" width="9.85546875" style="54" customWidth="1"/>
    <col min="13829" max="13829" width="0" style="54" hidden="1" customWidth="1"/>
    <col min="13830" max="13832" width="7.5703125" style="54" customWidth="1"/>
    <col min="13833" max="13833" width="6.7109375" style="54" bestFit="1" customWidth="1"/>
    <col min="13834" max="13842" width="6" style="54" bestFit="1" customWidth="1"/>
    <col min="13843" max="14080" width="9.140625" style="54"/>
    <col min="14081" max="14081" width="2.85546875" style="54" customWidth="1"/>
    <col min="14082" max="14082" width="12.85546875" style="54" customWidth="1"/>
    <col min="14083" max="14083" width="18" style="54" customWidth="1"/>
    <col min="14084" max="14084" width="9.85546875" style="54" customWidth="1"/>
    <col min="14085" max="14085" width="0" style="54" hidden="1" customWidth="1"/>
    <col min="14086" max="14088" width="7.5703125" style="54" customWidth="1"/>
    <col min="14089" max="14089" width="6.7109375" style="54" bestFit="1" customWidth="1"/>
    <col min="14090" max="14098" width="6" style="54" bestFit="1" customWidth="1"/>
    <col min="14099" max="14336" width="9.140625" style="54"/>
    <col min="14337" max="14337" width="2.85546875" style="54" customWidth="1"/>
    <col min="14338" max="14338" width="12.85546875" style="54" customWidth="1"/>
    <col min="14339" max="14339" width="18" style="54" customWidth="1"/>
    <col min="14340" max="14340" width="9.85546875" style="54" customWidth="1"/>
    <col min="14341" max="14341" width="0" style="54" hidden="1" customWidth="1"/>
    <col min="14342" max="14344" width="7.5703125" style="54" customWidth="1"/>
    <col min="14345" max="14345" width="6.7109375" style="54" bestFit="1" customWidth="1"/>
    <col min="14346" max="14354" width="6" style="54" bestFit="1" customWidth="1"/>
    <col min="14355" max="14592" width="9.140625" style="54"/>
    <col min="14593" max="14593" width="2.85546875" style="54" customWidth="1"/>
    <col min="14594" max="14594" width="12.85546875" style="54" customWidth="1"/>
    <col min="14595" max="14595" width="18" style="54" customWidth="1"/>
    <col min="14596" max="14596" width="9.85546875" style="54" customWidth="1"/>
    <col min="14597" max="14597" width="0" style="54" hidden="1" customWidth="1"/>
    <col min="14598" max="14600" width="7.5703125" style="54" customWidth="1"/>
    <col min="14601" max="14601" width="6.7109375" style="54" bestFit="1" customWidth="1"/>
    <col min="14602" max="14610" width="6" style="54" bestFit="1" customWidth="1"/>
    <col min="14611" max="14848" width="9.140625" style="54"/>
    <col min="14849" max="14849" width="2.85546875" style="54" customWidth="1"/>
    <col min="14850" max="14850" width="12.85546875" style="54" customWidth="1"/>
    <col min="14851" max="14851" width="18" style="54" customWidth="1"/>
    <col min="14852" max="14852" width="9.85546875" style="54" customWidth="1"/>
    <col min="14853" max="14853" width="0" style="54" hidden="1" customWidth="1"/>
    <col min="14854" max="14856" width="7.5703125" style="54" customWidth="1"/>
    <col min="14857" max="14857" width="6.7109375" style="54" bestFit="1" customWidth="1"/>
    <col min="14858" max="14866" width="6" style="54" bestFit="1" customWidth="1"/>
    <col min="14867" max="15104" width="9.140625" style="54"/>
    <col min="15105" max="15105" width="2.85546875" style="54" customWidth="1"/>
    <col min="15106" max="15106" width="12.85546875" style="54" customWidth="1"/>
    <col min="15107" max="15107" width="18" style="54" customWidth="1"/>
    <col min="15108" max="15108" width="9.85546875" style="54" customWidth="1"/>
    <col min="15109" max="15109" width="0" style="54" hidden="1" customWidth="1"/>
    <col min="15110" max="15112" width="7.5703125" style="54" customWidth="1"/>
    <col min="15113" max="15113" width="6.7109375" style="54" bestFit="1" customWidth="1"/>
    <col min="15114" max="15122" width="6" style="54" bestFit="1" customWidth="1"/>
    <col min="15123" max="15360" width="9.140625" style="54"/>
    <col min="15361" max="15361" width="2.85546875" style="54" customWidth="1"/>
    <col min="15362" max="15362" width="12.85546875" style="54" customWidth="1"/>
    <col min="15363" max="15363" width="18" style="54" customWidth="1"/>
    <col min="15364" max="15364" width="9.85546875" style="54" customWidth="1"/>
    <col min="15365" max="15365" width="0" style="54" hidden="1" customWidth="1"/>
    <col min="15366" max="15368" width="7.5703125" style="54" customWidth="1"/>
    <col min="15369" max="15369" width="6.7109375" style="54" bestFit="1" customWidth="1"/>
    <col min="15370" max="15378" width="6" style="54" bestFit="1" customWidth="1"/>
    <col min="15379" max="15616" width="9.140625" style="54"/>
    <col min="15617" max="15617" width="2.85546875" style="54" customWidth="1"/>
    <col min="15618" max="15618" width="12.85546875" style="54" customWidth="1"/>
    <col min="15619" max="15619" width="18" style="54" customWidth="1"/>
    <col min="15620" max="15620" width="9.85546875" style="54" customWidth="1"/>
    <col min="15621" max="15621" width="0" style="54" hidden="1" customWidth="1"/>
    <col min="15622" max="15624" width="7.5703125" style="54" customWidth="1"/>
    <col min="15625" max="15625" width="6.7109375" style="54" bestFit="1" customWidth="1"/>
    <col min="15626" max="15634" width="6" style="54" bestFit="1" customWidth="1"/>
    <col min="15635" max="15872" width="9.140625" style="54"/>
    <col min="15873" max="15873" width="2.85546875" style="54" customWidth="1"/>
    <col min="15874" max="15874" width="12.85546875" style="54" customWidth="1"/>
    <col min="15875" max="15875" width="18" style="54" customWidth="1"/>
    <col min="15876" max="15876" width="9.85546875" style="54" customWidth="1"/>
    <col min="15877" max="15877" width="0" style="54" hidden="1" customWidth="1"/>
    <col min="15878" max="15880" width="7.5703125" style="54" customWidth="1"/>
    <col min="15881" max="15881" width="6.7109375" style="54" bestFit="1" customWidth="1"/>
    <col min="15882" max="15890" width="6" style="54" bestFit="1" customWidth="1"/>
    <col min="15891" max="16128" width="9.140625" style="54"/>
    <col min="16129" max="16129" width="2.85546875" style="54" customWidth="1"/>
    <col min="16130" max="16130" width="12.85546875" style="54" customWidth="1"/>
    <col min="16131" max="16131" width="18" style="54" customWidth="1"/>
    <col min="16132" max="16132" width="9.85546875" style="54" customWidth="1"/>
    <col min="16133" max="16133" width="0" style="54" hidden="1" customWidth="1"/>
    <col min="16134" max="16136" width="7.5703125" style="54" customWidth="1"/>
    <col min="16137" max="16137" width="6.7109375" style="54" bestFit="1" customWidth="1"/>
    <col min="16138" max="16146" width="6" style="54" bestFit="1" customWidth="1"/>
    <col min="16147" max="16384" width="9.140625" style="54"/>
  </cols>
  <sheetData>
    <row r="1" spans="2:21" ht="15.75" thickBot="1"/>
    <row r="2" spans="2:21">
      <c r="B2" s="55" t="s">
        <v>113</v>
      </c>
      <c r="C2" s="56"/>
      <c r="D2" s="56"/>
      <c r="E2" s="56"/>
      <c r="F2" s="56"/>
      <c r="G2" s="56"/>
      <c r="H2" s="56"/>
      <c r="I2" s="56"/>
      <c r="J2" s="57"/>
    </row>
    <row r="3" spans="2:21" ht="15.75" thickBot="1">
      <c r="B3" s="58" t="s">
        <v>114</v>
      </c>
      <c r="C3" s="59"/>
      <c r="D3" s="59"/>
      <c r="E3" s="59"/>
      <c r="F3" s="59"/>
      <c r="G3" s="59"/>
      <c r="H3" s="59"/>
      <c r="I3" s="59"/>
      <c r="J3" s="60"/>
    </row>
    <row r="4" spans="2:21">
      <c r="B4" s="61"/>
      <c r="G4" s="62"/>
      <c r="H4" s="62"/>
      <c r="I4" s="63"/>
    </row>
    <row r="5" spans="2:21">
      <c r="B5" s="61"/>
      <c r="F5" s="64"/>
      <c r="G5" s="65" t="s">
        <v>115</v>
      </c>
      <c r="H5" s="66">
        <v>5</v>
      </c>
      <c r="I5" s="67" t="s">
        <v>100</v>
      </c>
    </row>
    <row r="6" spans="2:21">
      <c r="B6" s="61"/>
      <c r="F6" s="64"/>
      <c r="G6" s="65" t="s">
        <v>116</v>
      </c>
      <c r="H6" s="66">
        <v>1.5</v>
      </c>
      <c r="I6" s="67" t="s">
        <v>101</v>
      </c>
    </row>
    <row r="7" spans="2:21" hidden="1">
      <c r="B7" s="61"/>
      <c r="G7" s="62" t="s">
        <v>117</v>
      </c>
      <c r="H7" s="68">
        <v>1.2</v>
      </c>
      <c r="I7" s="63" t="s">
        <v>101</v>
      </c>
    </row>
    <row r="8" spans="2:21">
      <c r="B8" s="61"/>
      <c r="G8" s="62"/>
      <c r="H8" s="68"/>
      <c r="I8" s="63"/>
    </row>
    <row r="9" spans="2:21">
      <c r="G9" s="69" t="s">
        <v>118</v>
      </c>
      <c r="H9" s="66">
        <v>2200</v>
      </c>
      <c r="I9" s="70" t="s">
        <v>119</v>
      </c>
      <c r="S9" s="71"/>
    </row>
    <row r="10" spans="2:21" s="63" customFormat="1">
      <c r="G10" s="62"/>
      <c r="H10" s="68"/>
      <c r="S10" s="72"/>
    </row>
    <row r="11" spans="2:21">
      <c r="G11" s="69" t="s">
        <v>120</v>
      </c>
      <c r="H11" s="66">
        <v>0.4</v>
      </c>
      <c r="I11" s="70" t="s">
        <v>100</v>
      </c>
    </row>
    <row r="12" spans="2:21">
      <c r="G12" s="73"/>
      <c r="H12" s="73"/>
      <c r="I12" s="68"/>
    </row>
    <row r="13" spans="2:21" hidden="1">
      <c r="G13" s="73" t="s">
        <v>121</v>
      </c>
      <c r="H13" s="73">
        <v>0.65</v>
      </c>
      <c r="J13" s="74"/>
      <c r="O13" s="68"/>
      <c r="P13" s="68"/>
      <c r="Q13" s="68"/>
      <c r="R13" s="63"/>
      <c r="S13" s="63"/>
      <c r="T13" s="63"/>
    </row>
    <row r="14" spans="2:21">
      <c r="G14" s="69" t="s">
        <v>122</v>
      </c>
      <c r="H14" s="66">
        <v>40</v>
      </c>
      <c r="I14" s="70" t="s">
        <v>123</v>
      </c>
      <c r="J14" s="75"/>
      <c r="K14" s="71"/>
      <c r="O14" s="76"/>
      <c r="P14" s="76"/>
      <c r="Q14" s="77"/>
      <c r="R14" s="78"/>
      <c r="S14" s="79"/>
      <c r="T14" s="63"/>
    </row>
    <row r="15" spans="2:21" ht="15.75" thickBot="1">
      <c r="G15" s="80"/>
      <c r="H15" s="80"/>
      <c r="I15" s="81"/>
      <c r="P15" s="82"/>
      <c r="Q15" s="83"/>
      <c r="R15" s="63"/>
      <c r="S15" s="63"/>
      <c r="T15" s="63"/>
      <c r="U15" s="63"/>
    </row>
    <row r="16" spans="2:21" ht="15.75" hidden="1" thickBot="1">
      <c r="G16" s="80" t="s">
        <v>124</v>
      </c>
      <c r="H16" s="84">
        <v>7</v>
      </c>
      <c r="I16" s="85" t="s">
        <v>125</v>
      </c>
      <c r="J16" s="86" t="b">
        <v>1</v>
      </c>
      <c r="P16" s="82"/>
      <c r="Q16" s="83"/>
      <c r="R16" s="63"/>
      <c r="S16" s="63"/>
      <c r="T16" s="63"/>
      <c r="U16" s="63"/>
    </row>
    <row r="17" spans="2:11" ht="15.75" hidden="1" thickBot="1">
      <c r="G17" s="73" t="s">
        <v>126</v>
      </c>
      <c r="H17" s="81">
        <v>3</v>
      </c>
      <c r="I17" s="54" t="s">
        <v>125</v>
      </c>
    </row>
    <row r="18" spans="2:11" ht="15.75" thickBot="1">
      <c r="C18" s="87"/>
      <c r="D18" s="87"/>
      <c r="E18" s="88" t="s">
        <v>127</v>
      </c>
    </row>
    <row r="19" spans="2:11" ht="15.75" thickBot="1">
      <c r="B19" s="89" t="s">
        <v>128</v>
      </c>
      <c r="C19" s="90"/>
      <c r="D19" s="91"/>
      <c r="E19" s="92">
        <v>13</v>
      </c>
      <c r="F19" s="93">
        <v>6.5</v>
      </c>
      <c r="G19" s="94">
        <v>9</v>
      </c>
      <c r="H19" s="94">
        <v>13.2</v>
      </c>
      <c r="I19" s="94">
        <v>18</v>
      </c>
      <c r="J19" s="93">
        <v>20</v>
      </c>
    </row>
    <row r="20" spans="2:11">
      <c r="B20" s="95" t="s">
        <v>129</v>
      </c>
      <c r="C20" s="96"/>
      <c r="D20" s="96"/>
      <c r="E20" s="97">
        <f>FswNom*IF(Vinref&gt;19,0.5,1)</f>
        <v>2200</v>
      </c>
      <c r="F20" s="98">
        <f>FswNom*IF(F19&gt;19,0.5,1)</f>
        <v>2200</v>
      </c>
      <c r="G20" s="98">
        <f>FswNom*IF(G19&gt;19,0.5,1)</f>
        <v>2200</v>
      </c>
      <c r="H20" s="98">
        <f>FswNom*IF(H19&gt;19,0.5,1)</f>
        <v>2200</v>
      </c>
      <c r="I20" s="98">
        <f>FswNom*IF(I19&gt;19,0.5,1)</f>
        <v>2200</v>
      </c>
      <c r="J20" s="98">
        <f>FswNom*IF(J19&gt;19,0.5,1)</f>
        <v>1100</v>
      </c>
    </row>
    <row r="21" spans="2:11">
      <c r="B21" s="99"/>
      <c r="C21" s="87"/>
      <c r="D21" s="100"/>
      <c r="E21" s="101"/>
      <c r="F21" s="102"/>
      <c r="G21" s="102"/>
      <c r="H21" s="102"/>
      <c r="I21" s="102"/>
      <c r="J21" s="102"/>
    </row>
    <row r="22" spans="2:11">
      <c r="B22" s="103" t="s">
        <v>12</v>
      </c>
      <c r="C22" s="104"/>
      <c r="D22" s="105"/>
      <c r="E22" s="106">
        <f>(Vout+Vdiode)/(E19+Vdiode-LoadRef*Rdson1p2A)</f>
        <v>0.42789223454833597</v>
      </c>
      <c r="F22" s="107">
        <f>(Vout+Vdiode)/(F19+Vdiode-Iout*Rdson1p2A)</f>
        <v>0.91139240506329111</v>
      </c>
      <c r="G22" s="107">
        <f>(Vout+Vdiode)/(G19+Vdiode-Iout*Rdson1p2A)</f>
        <v>0.64094955489614247</v>
      </c>
      <c r="H22" s="107">
        <f>(Vout+Vdiode)/(H19+Vdiode-Iout*Rdson1p2A)</f>
        <v>0.42772277227722777</v>
      </c>
      <c r="I22" s="107">
        <f>(Vout+Vdiode)/(I19+Vdiode-Iout*Rdson1p2A)</f>
        <v>0.30989956958393122</v>
      </c>
      <c r="J22" s="107">
        <f>(Vout+Vdiode)/(J19+Vdiode-Iout*Rdson1p2A)</f>
        <v>0.27799227799227805</v>
      </c>
    </row>
    <row r="23" spans="2:11" ht="12.75" customHeight="1">
      <c r="B23" s="99"/>
      <c r="C23" s="87"/>
      <c r="D23" s="87"/>
      <c r="E23" s="99"/>
      <c r="F23" s="108"/>
      <c r="G23" s="108"/>
      <c r="H23" s="108"/>
      <c r="I23" s="108"/>
      <c r="J23" s="108"/>
    </row>
    <row r="24" spans="2:11" ht="12.75" hidden="1" customHeight="1">
      <c r="B24" s="109" t="s">
        <v>130</v>
      </c>
      <c r="C24" s="110" t="s">
        <v>131</v>
      </c>
      <c r="D24" s="111" t="s">
        <v>132</v>
      </c>
      <c r="E24" s="101">
        <v>3.1</v>
      </c>
      <c r="F24" s="107">
        <f>t1ref*SQRT(Iout/LoadRef)</f>
        <v>3.4659053651246743</v>
      </c>
      <c r="G24" s="107">
        <f>t1ref*SQRT(Iout/LoadRef)</f>
        <v>3.4659053651246743</v>
      </c>
      <c r="H24" s="107">
        <f>t1ref*SQRT(Iout/LoadRef)</f>
        <v>3.4659053651246743</v>
      </c>
      <c r="I24" s="107">
        <f>t1ref*SQRT(Iout/LoadRef)</f>
        <v>3.4659053651246743</v>
      </c>
      <c r="J24" s="107">
        <f>t1ref*SQRT(Iout/LoadRef)</f>
        <v>3.4659053651246743</v>
      </c>
    </row>
    <row r="25" spans="2:11" hidden="1">
      <c r="B25" s="109" t="s">
        <v>133</v>
      </c>
      <c r="C25" s="110" t="s">
        <v>134</v>
      </c>
      <c r="D25" s="111" t="s">
        <v>135</v>
      </c>
      <c r="E25" s="112">
        <v>1.6</v>
      </c>
      <c r="F25" s="102">
        <f>t2ref</f>
        <v>1.6</v>
      </c>
      <c r="G25" s="102">
        <f>t2ref</f>
        <v>1.6</v>
      </c>
      <c r="H25" s="102">
        <f>t2ref</f>
        <v>1.6</v>
      </c>
      <c r="I25" s="102">
        <f>t2ref</f>
        <v>1.6</v>
      </c>
      <c r="J25" s="102">
        <f>t2ref</f>
        <v>1.6</v>
      </c>
      <c r="K25" s="113"/>
    </row>
    <row r="26" spans="2:11" hidden="1">
      <c r="B26" s="109" t="s">
        <v>136</v>
      </c>
      <c r="C26" s="110" t="s">
        <v>137</v>
      </c>
      <c r="D26" s="111" t="s">
        <v>138</v>
      </c>
      <c r="E26" s="106">
        <v>4.5999999999999996</v>
      </c>
      <c r="F26" s="114">
        <f>t3ref*F$19/Vinref</f>
        <v>2.2999999999999998</v>
      </c>
      <c r="G26" s="114">
        <f>t3ref*G$19/Vinref</f>
        <v>3.1846153846153844</v>
      </c>
      <c r="H26" s="114">
        <f>t3ref*H$19/Vinref</f>
        <v>4.6707692307692303</v>
      </c>
      <c r="I26" s="114">
        <f>t3ref*I$19/Vinref</f>
        <v>6.3692307692307688</v>
      </c>
      <c r="J26" s="114">
        <f>t3ref*J$19/Vinref</f>
        <v>7.0769230769230766</v>
      </c>
      <c r="K26" s="113"/>
    </row>
    <row r="27" spans="2:11" hidden="1">
      <c r="B27" s="109" t="s">
        <v>139</v>
      </c>
      <c r="C27" s="110" t="s">
        <v>140</v>
      </c>
      <c r="D27" s="111" t="s">
        <v>141</v>
      </c>
      <c r="E27" s="101">
        <v>12.5</v>
      </c>
      <c r="F27" s="102">
        <f>t4ref</f>
        <v>12.5</v>
      </c>
      <c r="G27" s="102">
        <f>t4ref</f>
        <v>12.5</v>
      </c>
      <c r="H27" s="102">
        <f>t4ref</f>
        <v>12.5</v>
      </c>
      <c r="I27" s="102">
        <f>t4ref</f>
        <v>12.5</v>
      </c>
      <c r="J27" s="102">
        <f>t4ref</f>
        <v>12.5</v>
      </c>
    </row>
    <row r="28" spans="2:11" hidden="1">
      <c r="B28" s="99"/>
      <c r="C28" s="87"/>
      <c r="D28" s="87"/>
      <c r="E28" s="99"/>
      <c r="F28" s="108"/>
      <c r="G28" s="108"/>
      <c r="H28" s="108"/>
      <c r="I28" s="108"/>
      <c r="J28" s="108"/>
    </row>
    <row r="29" spans="2:11" hidden="1">
      <c r="B29" s="99"/>
      <c r="C29" s="87"/>
      <c r="D29" s="115" t="s">
        <v>142</v>
      </c>
      <c r="E29" s="116">
        <f>1000*FswMax*t1ref/1000000000*(Vinref+0.5)*LoadRef/2</f>
        <v>5.5241999999999999E-2</v>
      </c>
      <c r="F29" s="117">
        <f>1000*F20*F24/1000000000*(F$19+0.5)*Iout/2</f>
        <v>4.0031206967189988E-2</v>
      </c>
      <c r="G29" s="117">
        <f>1000*G20*G24/1000000000*(G$19+0.5)*Iout/2</f>
        <v>5.4328066598329269E-2</v>
      </c>
      <c r="H29" s="117">
        <f>1000*H20*H24/1000000000*(H$19+0.5)*Iout/2</f>
        <v>7.834679077864326E-2</v>
      </c>
      <c r="I29" s="117">
        <f>1000*I20*I24/1000000000*(I$19+0.5)*Iout/2</f>
        <v>0.10579676127043068</v>
      </c>
      <c r="J29" s="117">
        <f>1000*J20*J24/1000000000*(J$19+0.5)*Iout/2</f>
        <v>5.8617124487671049E-2</v>
      </c>
    </row>
    <row r="30" spans="2:11" hidden="1">
      <c r="B30" s="99"/>
      <c r="C30" s="87"/>
      <c r="D30" s="115" t="s">
        <v>143</v>
      </c>
      <c r="E30" s="116">
        <f>1000*FswMax*t2ref/1000000000*(Vinref-1)*(LoadRef+0.4/2)</f>
        <v>5.9135999999999994E-2</v>
      </c>
      <c r="F30" s="117">
        <f>1000*F20*F25/1000000000*(F$19-1)*(Iout+0.4/2)</f>
        <v>3.2912000000000004E-2</v>
      </c>
      <c r="G30" s="117">
        <f>1000*G20*G25/1000000000*(G$19-1)*(Iout+0.4/2)</f>
        <v>4.7871999999999998E-2</v>
      </c>
      <c r="H30" s="117">
        <f>1000*H20*H25/1000000000*(H$19-1)*(Iout+0.4/2)</f>
        <v>7.3004799999999995E-2</v>
      </c>
      <c r="I30" s="117">
        <f>1000*I20*I25/1000000000*(I$19-1)*(Iout+0.4/2)</f>
        <v>0.101728</v>
      </c>
      <c r="J30" s="117">
        <f>1000*J20*J25/1000000000*(J$19-1)*(Iout+0.4/2)</f>
        <v>5.6848000000000003E-2</v>
      </c>
    </row>
    <row r="31" spans="2:11" hidden="1">
      <c r="B31" s="99"/>
      <c r="C31" s="87"/>
      <c r="D31" s="115" t="s">
        <v>144</v>
      </c>
      <c r="E31" s="116">
        <f>1000*FswMax*t3ref/1000000000*((Vinref-1)*(LoadRef+(0.4))+(-(Vinref-2)*(LoadRef+(0.4))-0.4*(Vinref-1))/2+0.4*(Vinref-2)/3)</f>
        <v>9.5802666666666689E-2</v>
      </c>
      <c r="F31" s="117">
        <f>1000*F20*F26/1000000000*((F$19-1)*(Iout+0.4)+(-(F$19-2)*(Iout+0.4)-0.4*(F$19-1))/2+0.4*(F$19-2)/3)</f>
        <v>2.8715499999999995E-2</v>
      </c>
      <c r="G31" s="117">
        <f>1000*G20*G26/1000000000*((G$19-1)*(Iout+0.4)+(-(G$19-2)*(Iout+0.4)-0.4*(G$19-1))/2+0.4*(G$19-2)/3)</f>
        <v>5.5231846153846152E-2</v>
      </c>
      <c r="H31" s="117">
        <f>1000*H20*H26/1000000000*((H$19-1)*(Iout+0.4)+(-(H$19-2)*(Iout+0.4)-0.4*(H$19-1))/2+0.4*(H$19-2)/3)</f>
        <v>0.11912952615384612</v>
      </c>
      <c r="I31" s="117">
        <f>1000*I20*I26/1000000000*((I$19-1)*(Iout+0.4)+(-(I$19-2)*(Iout+0.4)-0.4*(I$19-1))/2+0.4*(I$19-2)/3)</f>
        <v>0.22186153846153839</v>
      </c>
      <c r="J31" s="117">
        <f>1000*J20*J26/1000000000*((J$19-1)*(Iout+0.4)+(-(J$19-2)*(Iout+0.4)-0.4*(J$19-1))/2+0.4*(J$19-2)/3)</f>
        <v>0.13700923076923077</v>
      </c>
    </row>
    <row r="32" spans="2:11" hidden="1">
      <c r="B32" s="99"/>
      <c r="C32" s="87"/>
      <c r="D32" s="115" t="s">
        <v>145</v>
      </c>
      <c r="E32" s="116">
        <f>1000*FswMax*t4ref/1000000000*0.5*LoadRef</f>
        <v>1.6500000000000001E-2</v>
      </c>
      <c r="F32" s="117">
        <f>1000*F20*F27/1000000000*0.5*Iout</f>
        <v>2.0625000000000001E-2</v>
      </c>
      <c r="G32" s="117">
        <f>1000*G20*G27/1000000000*0.5*Iout</f>
        <v>2.0625000000000001E-2</v>
      </c>
      <c r="H32" s="117">
        <f>1000*H20*H27/1000000000*0.5*Iout</f>
        <v>2.0625000000000001E-2</v>
      </c>
      <c r="I32" s="117">
        <f>1000*I20*I27/1000000000*0.5*Iout</f>
        <v>2.0625000000000001E-2</v>
      </c>
      <c r="J32" s="117">
        <f>1000*J20*J27/1000000000*0.5*Iout</f>
        <v>1.03125E-2</v>
      </c>
    </row>
    <row r="33" spans="2:11">
      <c r="B33" s="103" t="s">
        <v>146</v>
      </c>
      <c r="C33" s="104"/>
      <c r="D33" s="105"/>
      <c r="E33" s="116">
        <f t="shared" ref="E33:J33" si="0">SUM(E29:E32)</f>
        <v>0.2266806666666667</v>
      </c>
      <c r="F33" s="117">
        <f t="shared" si="0"/>
        <v>0.12228370696718999</v>
      </c>
      <c r="G33" s="117">
        <f t="shared" si="0"/>
        <v>0.17805691275217542</v>
      </c>
      <c r="H33" s="117">
        <f t="shared" si="0"/>
        <v>0.29110611693248933</v>
      </c>
      <c r="I33" s="117">
        <f t="shared" si="0"/>
        <v>0.45001129973196907</v>
      </c>
      <c r="J33" s="117">
        <f t="shared" si="0"/>
        <v>0.26278685525690182</v>
      </c>
    </row>
    <row r="34" spans="2:11">
      <c r="B34" s="103" t="s">
        <v>147</v>
      </c>
      <c r="C34" s="104"/>
      <c r="D34" s="105"/>
      <c r="E34" s="116">
        <f>(Vout+Vdiode)/(Vinref+Vdiode-LoadRef*Rdson1p2A)*LoadRef^2*Rdson1p2A</f>
        <v>0.40050713153724243</v>
      </c>
      <c r="F34" s="117">
        <f>(Vout+Vdiode)/(F19+Vdiode-Iout*Rdson1p2A)*Iout^2*Rdson1p2A</f>
        <v>1.3329113924050633</v>
      </c>
      <c r="G34" s="117">
        <f>(Vout+Vdiode)/(G19+Vdiode-Iout*Rdson1p2A)*Iout^2*Rdson1p2A</f>
        <v>0.93738872403560836</v>
      </c>
      <c r="H34" s="117">
        <f>(Vout+Vdiode)/(H19+Vdiode-Iout*Rdson1p2A)*Iout^2*Rdson1p2A</f>
        <v>0.62554455445544566</v>
      </c>
      <c r="I34" s="117">
        <f>(Vout+Vdiode)/(I19+Vdiode-Iout*Rdson1p2A)*Iout^2*Rdson1p2A</f>
        <v>0.45322812051649941</v>
      </c>
      <c r="J34" s="117">
        <f>(Vout+Vdiode)/(J19+Vdiode-Iout*Rdson1p2A)*Iout^2*Rdson1p2A</f>
        <v>0.40656370656370661</v>
      </c>
    </row>
    <row r="35" spans="2:11">
      <c r="B35" s="103" t="s">
        <v>148</v>
      </c>
      <c r="C35" s="104"/>
      <c r="D35" s="105"/>
      <c r="E35" s="116">
        <f t="shared" ref="E35:J35" si="1">E33+E34</f>
        <v>0.62718779820390913</v>
      </c>
      <c r="F35" s="117">
        <f t="shared" si="1"/>
        <v>1.4551950993722533</v>
      </c>
      <c r="G35" s="117">
        <f t="shared" si="1"/>
        <v>1.1154456367877839</v>
      </c>
      <c r="H35" s="117">
        <f t="shared" si="1"/>
        <v>0.91665067138793499</v>
      </c>
      <c r="I35" s="117">
        <f t="shared" si="1"/>
        <v>0.90323942024846848</v>
      </c>
      <c r="J35" s="117">
        <f t="shared" si="1"/>
        <v>0.66935056182060837</v>
      </c>
    </row>
    <row r="36" spans="2:11">
      <c r="B36" s="99"/>
      <c r="C36" s="87"/>
      <c r="D36" s="87"/>
      <c r="E36" s="101"/>
      <c r="F36" s="102"/>
      <c r="G36" s="102"/>
      <c r="H36" s="102"/>
      <c r="I36" s="102"/>
      <c r="J36" s="102"/>
    </row>
    <row r="37" spans="2:11">
      <c r="B37" s="103" t="s">
        <v>149</v>
      </c>
      <c r="C37" s="104"/>
      <c r="D37" s="105"/>
      <c r="E37" s="116">
        <f>0.001*LDOLoad*(Vinref-3.3)*FswMax/2000</f>
        <v>7.4689999999999993E-2</v>
      </c>
      <c r="F37" s="117">
        <f>0.001*UseLDO*LDOLoad*(F19-3.3)*F20/2000</f>
        <v>2.4640000000000006E-2</v>
      </c>
      <c r="G37" s="117">
        <f>0.001*UseLDO*LDOLoad*(G19-3.3)*G20/2000</f>
        <v>4.3890000000000005E-2</v>
      </c>
      <c r="H37" s="117">
        <f>0.001*UseLDO*LDOLoad*(H19-3.3)*H20/2000</f>
        <v>7.6229999999999992E-2</v>
      </c>
      <c r="I37" s="117">
        <f>0.001*UseLDO*LDOLoad*(I19-3.3)*I20/2000</f>
        <v>0.11319</v>
      </c>
      <c r="J37" s="117">
        <f>0.001*UseLDO*LDOLoad*(J19-3.3)*J20/2000</f>
        <v>6.4295000000000005E-2</v>
      </c>
    </row>
    <row r="38" spans="2:11">
      <c r="B38" s="99"/>
      <c r="C38" s="87"/>
      <c r="D38" s="87"/>
      <c r="E38" s="101"/>
      <c r="F38" s="102"/>
      <c r="G38" s="102"/>
      <c r="H38" s="102"/>
      <c r="I38" s="102"/>
      <c r="J38" s="102"/>
    </row>
    <row r="39" spans="2:11">
      <c r="B39" s="103" t="s">
        <v>150</v>
      </c>
      <c r="C39" s="104"/>
      <c r="D39" s="105"/>
      <c r="E39" s="116">
        <f>0.001*Iq*Vinref</f>
        <v>3.9E-2</v>
      </c>
      <c r="F39" s="117">
        <f>0.001*Iq*F19</f>
        <v>1.95E-2</v>
      </c>
      <c r="G39" s="117">
        <f>0.001*Iq*G19</f>
        <v>2.7E-2</v>
      </c>
      <c r="H39" s="117">
        <f>0.001*Iq*H19</f>
        <v>3.9599999999999996E-2</v>
      </c>
      <c r="I39" s="117">
        <f>0.001*Iq*I19</f>
        <v>5.3999999999999999E-2</v>
      </c>
      <c r="J39" s="117">
        <f>0.001*Iq*J19</f>
        <v>0.06</v>
      </c>
    </row>
    <row r="40" spans="2:11">
      <c r="B40" s="99"/>
      <c r="C40" s="87"/>
      <c r="D40" s="87"/>
      <c r="E40" s="101"/>
      <c r="F40" s="102"/>
      <c r="G40" s="102"/>
      <c r="H40" s="102"/>
      <c r="I40" s="102"/>
      <c r="J40" s="102"/>
    </row>
    <row r="41" spans="2:11">
      <c r="B41" s="103" t="s">
        <v>151</v>
      </c>
      <c r="C41" s="104"/>
      <c r="D41" s="105"/>
      <c r="E41" s="116">
        <f t="shared" ref="E41:J41" si="2">E35+E37+E39</f>
        <v>0.7408777982039092</v>
      </c>
      <c r="F41" s="117">
        <f t="shared" si="2"/>
        <v>1.4993350993722534</v>
      </c>
      <c r="G41" s="117">
        <f t="shared" si="2"/>
        <v>1.1863356367877838</v>
      </c>
      <c r="H41" s="117">
        <f t="shared" si="2"/>
        <v>1.0324806713879351</v>
      </c>
      <c r="I41" s="117">
        <f t="shared" si="2"/>
        <v>1.0704294202484685</v>
      </c>
      <c r="J41" s="117">
        <f t="shared" si="2"/>
        <v>0.79364556182060841</v>
      </c>
    </row>
    <row r="42" spans="2:11">
      <c r="B42" s="99"/>
      <c r="C42" s="87"/>
      <c r="D42" s="87"/>
      <c r="E42" s="99"/>
      <c r="F42" s="108"/>
      <c r="G42" s="108"/>
      <c r="H42" s="108"/>
      <c r="I42" s="108"/>
      <c r="J42" s="108"/>
    </row>
    <row r="43" spans="2:11" ht="15.75" thickBot="1">
      <c r="B43" s="118" t="s">
        <v>152</v>
      </c>
      <c r="C43" s="119"/>
      <c r="D43" s="120"/>
      <c r="E43" s="121">
        <f t="shared" ref="E43:J43" si="3">E41*Rthetaja</f>
        <v>29.63511192815637</v>
      </c>
      <c r="F43" s="122">
        <f t="shared" si="3"/>
        <v>59.973403974890132</v>
      </c>
      <c r="G43" s="122">
        <f t="shared" si="3"/>
        <v>47.453425471511352</v>
      </c>
      <c r="H43" s="122">
        <f t="shared" si="3"/>
        <v>41.299226855517404</v>
      </c>
      <c r="I43" s="122">
        <f t="shared" si="3"/>
        <v>42.817176809938744</v>
      </c>
      <c r="J43" s="122">
        <f t="shared" si="3"/>
        <v>31.745822472824337</v>
      </c>
    </row>
    <row r="44" spans="2:11" ht="23.25" customHeight="1" thickBot="1">
      <c r="B44" s="123" t="s">
        <v>153</v>
      </c>
      <c r="C44" s="124"/>
      <c r="D44" s="125"/>
      <c r="E44" s="126">
        <f t="shared" ref="E44:J44" si="4">150-E43</f>
        <v>120.36488807184364</v>
      </c>
      <c r="F44" s="127">
        <f t="shared" si="4"/>
        <v>90.026596025109868</v>
      </c>
      <c r="G44" s="127">
        <f t="shared" si="4"/>
        <v>102.54657452848865</v>
      </c>
      <c r="H44" s="127">
        <f t="shared" si="4"/>
        <v>108.7007731444826</v>
      </c>
      <c r="I44" s="127">
        <f t="shared" si="4"/>
        <v>107.18282319006126</v>
      </c>
      <c r="J44" s="127">
        <f t="shared" si="4"/>
        <v>118.25417752717567</v>
      </c>
    </row>
    <row r="45" spans="2:11">
      <c r="B45" s="128"/>
      <c r="C45" s="129"/>
      <c r="D45" s="129"/>
      <c r="E45" s="130"/>
      <c r="F45" s="131"/>
      <c r="G45" s="130"/>
      <c r="H45" s="131"/>
      <c r="I45" s="131"/>
      <c r="J45" s="131"/>
    </row>
    <row r="46" spans="2:11" ht="15.75" thickBot="1">
      <c r="B46" s="132" t="s">
        <v>154</v>
      </c>
      <c r="C46" s="133"/>
      <c r="D46" s="133"/>
      <c r="E46" s="134">
        <f>(1-(Vout+Vdiode)/(Vinref+Vdiode-LoadRef*Rdson1p2A))*LoadRef*Vdiode</f>
        <v>0.27461172741679868</v>
      </c>
      <c r="F46" s="135">
        <f>(1-(Vout+Vdiode)/(F19+Vdiode-Iout*Rdson1p2A))*Iout*Vdiode</f>
        <v>5.3164556962025336E-2</v>
      </c>
      <c r="G46" s="134">
        <f>(1-(Vout+Vdiode)/(G19+Vdiode-Iout*Rdson1p2A))*Iout*Vdiode</f>
        <v>0.2154302670623145</v>
      </c>
      <c r="H46" s="135">
        <f>(1-(Vout+Vdiode)/(H19+Vdiode-Iout*Rdson1p2A))*Iout*Vdiode</f>
        <v>0.34336633663366334</v>
      </c>
      <c r="I46" s="135">
        <f>(1-(Vout+Vdiode)/(I19+Vdiode-Iout*Rdson1p2A))*Iout*Vdiode</f>
        <v>0.41406025824964127</v>
      </c>
      <c r="J46" s="135">
        <f>(1-(Vout+Vdiode)/(J19+Vdiode-Iout*Rdson1p2A))*Iout*Vdiode</f>
        <v>0.4332046332046332</v>
      </c>
      <c r="K46" s="113"/>
    </row>
    <row r="49" spans="2:10" ht="129.75" customHeight="1">
      <c r="B49" s="136" t="s">
        <v>155</v>
      </c>
      <c r="C49" s="136"/>
      <c r="D49" s="136"/>
      <c r="E49" s="136"/>
      <c r="F49" s="136"/>
      <c r="G49" s="136"/>
      <c r="H49" s="136"/>
      <c r="I49" s="136"/>
      <c r="J49" s="136"/>
    </row>
  </sheetData>
  <sheetProtection password="F725" sheet="1" objects="1" scenarios="1" selectLockedCells="1"/>
  <mergeCells count="15">
    <mergeCell ref="B44:D44"/>
    <mergeCell ref="B46:D46"/>
    <mergeCell ref="B49:J49"/>
    <mergeCell ref="B34:D34"/>
    <mergeCell ref="B35:D35"/>
    <mergeCell ref="B37:D37"/>
    <mergeCell ref="B39:D39"/>
    <mergeCell ref="B41:D41"/>
    <mergeCell ref="B43:D43"/>
    <mergeCell ref="B2:J2"/>
    <mergeCell ref="B3:J3"/>
    <mergeCell ref="B19:D19"/>
    <mergeCell ref="B20:D20"/>
    <mergeCell ref="B22:D22"/>
    <mergeCell ref="B33:D33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 altText="">
                <anchor moveWithCells="1">
                  <from>
                    <xdr:col>1</xdr:col>
                    <xdr:colOff>266700</xdr:colOff>
                    <xdr:row>35</xdr:row>
                    <xdr:rowOff>133350</xdr:rowOff>
                  </from>
                  <to>
                    <xdr:col>1</xdr:col>
                    <xdr:colOff>571500</xdr:colOff>
                    <xdr:row>37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topLeftCell="A19" workbookViewId="0">
      <selection activeCell="C5" sqref="C5"/>
    </sheetView>
  </sheetViews>
  <sheetFormatPr defaultRowHeight="15"/>
  <cols>
    <col min="3" max="3" width="8.140625" customWidth="1"/>
    <col min="4" max="4" width="16" customWidth="1"/>
    <col min="5" max="5" width="18.85546875" customWidth="1"/>
    <col min="6" max="6" width="10.140625" customWidth="1"/>
    <col min="259" max="259" width="8.140625" customWidth="1"/>
    <col min="260" max="260" width="16" customWidth="1"/>
    <col min="261" max="261" width="18.85546875" customWidth="1"/>
    <col min="262" max="262" width="10.140625" customWidth="1"/>
    <col min="515" max="515" width="8.140625" customWidth="1"/>
    <col min="516" max="516" width="16" customWidth="1"/>
    <col min="517" max="517" width="18.85546875" customWidth="1"/>
    <col min="518" max="518" width="10.140625" customWidth="1"/>
    <col min="771" max="771" width="8.140625" customWidth="1"/>
    <col min="772" max="772" width="16" customWidth="1"/>
    <col min="773" max="773" width="18.85546875" customWidth="1"/>
    <col min="774" max="774" width="10.140625" customWidth="1"/>
    <col min="1027" max="1027" width="8.140625" customWidth="1"/>
    <col min="1028" max="1028" width="16" customWidth="1"/>
    <col min="1029" max="1029" width="18.85546875" customWidth="1"/>
    <col min="1030" max="1030" width="10.140625" customWidth="1"/>
    <col min="1283" max="1283" width="8.140625" customWidth="1"/>
    <col min="1284" max="1284" width="16" customWidth="1"/>
    <col min="1285" max="1285" width="18.85546875" customWidth="1"/>
    <col min="1286" max="1286" width="10.140625" customWidth="1"/>
    <col min="1539" max="1539" width="8.140625" customWidth="1"/>
    <col min="1540" max="1540" width="16" customWidth="1"/>
    <col min="1541" max="1541" width="18.85546875" customWidth="1"/>
    <col min="1542" max="1542" width="10.140625" customWidth="1"/>
    <col min="1795" max="1795" width="8.140625" customWidth="1"/>
    <col min="1796" max="1796" width="16" customWidth="1"/>
    <col min="1797" max="1797" width="18.85546875" customWidth="1"/>
    <col min="1798" max="1798" width="10.140625" customWidth="1"/>
    <col min="2051" max="2051" width="8.140625" customWidth="1"/>
    <col min="2052" max="2052" width="16" customWidth="1"/>
    <col min="2053" max="2053" width="18.85546875" customWidth="1"/>
    <col min="2054" max="2054" width="10.140625" customWidth="1"/>
    <col min="2307" max="2307" width="8.140625" customWidth="1"/>
    <col min="2308" max="2308" width="16" customWidth="1"/>
    <col min="2309" max="2309" width="18.85546875" customWidth="1"/>
    <col min="2310" max="2310" width="10.140625" customWidth="1"/>
    <col min="2563" max="2563" width="8.140625" customWidth="1"/>
    <col min="2564" max="2564" width="16" customWidth="1"/>
    <col min="2565" max="2565" width="18.85546875" customWidth="1"/>
    <col min="2566" max="2566" width="10.140625" customWidth="1"/>
    <col min="2819" max="2819" width="8.140625" customWidth="1"/>
    <col min="2820" max="2820" width="16" customWidth="1"/>
    <col min="2821" max="2821" width="18.85546875" customWidth="1"/>
    <col min="2822" max="2822" width="10.140625" customWidth="1"/>
    <col min="3075" max="3075" width="8.140625" customWidth="1"/>
    <col min="3076" max="3076" width="16" customWidth="1"/>
    <col min="3077" max="3077" width="18.85546875" customWidth="1"/>
    <col min="3078" max="3078" width="10.140625" customWidth="1"/>
    <col min="3331" max="3331" width="8.140625" customWidth="1"/>
    <col min="3332" max="3332" width="16" customWidth="1"/>
    <col min="3333" max="3333" width="18.85546875" customWidth="1"/>
    <col min="3334" max="3334" width="10.140625" customWidth="1"/>
    <col min="3587" max="3587" width="8.140625" customWidth="1"/>
    <col min="3588" max="3588" width="16" customWidth="1"/>
    <col min="3589" max="3589" width="18.85546875" customWidth="1"/>
    <col min="3590" max="3590" width="10.140625" customWidth="1"/>
    <col min="3843" max="3843" width="8.140625" customWidth="1"/>
    <col min="3844" max="3844" width="16" customWidth="1"/>
    <col min="3845" max="3845" width="18.85546875" customWidth="1"/>
    <col min="3846" max="3846" width="10.140625" customWidth="1"/>
    <col min="4099" max="4099" width="8.140625" customWidth="1"/>
    <col min="4100" max="4100" width="16" customWidth="1"/>
    <col min="4101" max="4101" width="18.85546875" customWidth="1"/>
    <col min="4102" max="4102" width="10.140625" customWidth="1"/>
    <col min="4355" max="4355" width="8.140625" customWidth="1"/>
    <col min="4356" max="4356" width="16" customWidth="1"/>
    <col min="4357" max="4357" width="18.85546875" customWidth="1"/>
    <col min="4358" max="4358" width="10.140625" customWidth="1"/>
    <col min="4611" max="4611" width="8.140625" customWidth="1"/>
    <col min="4612" max="4612" width="16" customWidth="1"/>
    <col min="4613" max="4613" width="18.85546875" customWidth="1"/>
    <col min="4614" max="4614" width="10.140625" customWidth="1"/>
    <col min="4867" max="4867" width="8.140625" customWidth="1"/>
    <col min="4868" max="4868" width="16" customWidth="1"/>
    <col min="4869" max="4869" width="18.85546875" customWidth="1"/>
    <col min="4870" max="4870" width="10.140625" customWidth="1"/>
    <col min="5123" max="5123" width="8.140625" customWidth="1"/>
    <col min="5124" max="5124" width="16" customWidth="1"/>
    <col min="5125" max="5125" width="18.85546875" customWidth="1"/>
    <col min="5126" max="5126" width="10.140625" customWidth="1"/>
    <col min="5379" max="5379" width="8.140625" customWidth="1"/>
    <col min="5380" max="5380" width="16" customWidth="1"/>
    <col min="5381" max="5381" width="18.85546875" customWidth="1"/>
    <col min="5382" max="5382" width="10.140625" customWidth="1"/>
    <col min="5635" max="5635" width="8.140625" customWidth="1"/>
    <col min="5636" max="5636" width="16" customWidth="1"/>
    <col min="5637" max="5637" width="18.85546875" customWidth="1"/>
    <col min="5638" max="5638" width="10.140625" customWidth="1"/>
    <col min="5891" max="5891" width="8.140625" customWidth="1"/>
    <col min="5892" max="5892" width="16" customWidth="1"/>
    <col min="5893" max="5893" width="18.85546875" customWidth="1"/>
    <col min="5894" max="5894" width="10.140625" customWidth="1"/>
    <col min="6147" max="6147" width="8.140625" customWidth="1"/>
    <col min="6148" max="6148" width="16" customWidth="1"/>
    <col min="6149" max="6149" width="18.85546875" customWidth="1"/>
    <col min="6150" max="6150" width="10.140625" customWidth="1"/>
    <col min="6403" max="6403" width="8.140625" customWidth="1"/>
    <col min="6404" max="6404" width="16" customWidth="1"/>
    <col min="6405" max="6405" width="18.85546875" customWidth="1"/>
    <col min="6406" max="6406" width="10.140625" customWidth="1"/>
    <col min="6659" max="6659" width="8.140625" customWidth="1"/>
    <col min="6660" max="6660" width="16" customWidth="1"/>
    <col min="6661" max="6661" width="18.85546875" customWidth="1"/>
    <col min="6662" max="6662" width="10.140625" customWidth="1"/>
    <col min="6915" max="6915" width="8.140625" customWidth="1"/>
    <col min="6916" max="6916" width="16" customWidth="1"/>
    <col min="6917" max="6917" width="18.85546875" customWidth="1"/>
    <col min="6918" max="6918" width="10.140625" customWidth="1"/>
    <col min="7171" max="7171" width="8.140625" customWidth="1"/>
    <col min="7172" max="7172" width="16" customWidth="1"/>
    <col min="7173" max="7173" width="18.85546875" customWidth="1"/>
    <col min="7174" max="7174" width="10.140625" customWidth="1"/>
    <col min="7427" max="7427" width="8.140625" customWidth="1"/>
    <col min="7428" max="7428" width="16" customWidth="1"/>
    <col min="7429" max="7429" width="18.85546875" customWidth="1"/>
    <col min="7430" max="7430" width="10.140625" customWidth="1"/>
    <col min="7683" max="7683" width="8.140625" customWidth="1"/>
    <col min="7684" max="7684" width="16" customWidth="1"/>
    <col min="7685" max="7685" width="18.85546875" customWidth="1"/>
    <col min="7686" max="7686" width="10.140625" customWidth="1"/>
    <col min="7939" max="7939" width="8.140625" customWidth="1"/>
    <col min="7940" max="7940" width="16" customWidth="1"/>
    <col min="7941" max="7941" width="18.85546875" customWidth="1"/>
    <col min="7942" max="7942" width="10.140625" customWidth="1"/>
    <col min="8195" max="8195" width="8.140625" customWidth="1"/>
    <col min="8196" max="8196" width="16" customWidth="1"/>
    <col min="8197" max="8197" width="18.85546875" customWidth="1"/>
    <col min="8198" max="8198" width="10.140625" customWidth="1"/>
    <col min="8451" max="8451" width="8.140625" customWidth="1"/>
    <col min="8452" max="8452" width="16" customWidth="1"/>
    <col min="8453" max="8453" width="18.85546875" customWidth="1"/>
    <col min="8454" max="8454" width="10.140625" customWidth="1"/>
    <col min="8707" max="8707" width="8.140625" customWidth="1"/>
    <col min="8708" max="8708" width="16" customWidth="1"/>
    <col min="8709" max="8709" width="18.85546875" customWidth="1"/>
    <col min="8710" max="8710" width="10.140625" customWidth="1"/>
    <col min="8963" max="8963" width="8.140625" customWidth="1"/>
    <col min="8964" max="8964" width="16" customWidth="1"/>
    <col min="8965" max="8965" width="18.85546875" customWidth="1"/>
    <col min="8966" max="8966" width="10.140625" customWidth="1"/>
    <col min="9219" max="9219" width="8.140625" customWidth="1"/>
    <col min="9220" max="9220" width="16" customWidth="1"/>
    <col min="9221" max="9221" width="18.85546875" customWidth="1"/>
    <col min="9222" max="9222" width="10.140625" customWidth="1"/>
    <col min="9475" max="9475" width="8.140625" customWidth="1"/>
    <col min="9476" max="9476" width="16" customWidth="1"/>
    <col min="9477" max="9477" width="18.85546875" customWidth="1"/>
    <col min="9478" max="9478" width="10.140625" customWidth="1"/>
    <col min="9731" max="9731" width="8.140625" customWidth="1"/>
    <col min="9732" max="9732" width="16" customWidth="1"/>
    <col min="9733" max="9733" width="18.85546875" customWidth="1"/>
    <col min="9734" max="9734" width="10.140625" customWidth="1"/>
    <col min="9987" max="9987" width="8.140625" customWidth="1"/>
    <col min="9988" max="9988" width="16" customWidth="1"/>
    <col min="9989" max="9989" width="18.85546875" customWidth="1"/>
    <col min="9990" max="9990" width="10.140625" customWidth="1"/>
    <col min="10243" max="10243" width="8.140625" customWidth="1"/>
    <col min="10244" max="10244" width="16" customWidth="1"/>
    <col min="10245" max="10245" width="18.85546875" customWidth="1"/>
    <col min="10246" max="10246" width="10.140625" customWidth="1"/>
    <col min="10499" max="10499" width="8.140625" customWidth="1"/>
    <col min="10500" max="10500" width="16" customWidth="1"/>
    <col min="10501" max="10501" width="18.85546875" customWidth="1"/>
    <col min="10502" max="10502" width="10.140625" customWidth="1"/>
    <col min="10755" max="10755" width="8.140625" customWidth="1"/>
    <col min="10756" max="10756" width="16" customWidth="1"/>
    <col min="10757" max="10757" width="18.85546875" customWidth="1"/>
    <col min="10758" max="10758" width="10.140625" customWidth="1"/>
    <col min="11011" max="11011" width="8.140625" customWidth="1"/>
    <col min="11012" max="11012" width="16" customWidth="1"/>
    <col min="11013" max="11013" width="18.85546875" customWidth="1"/>
    <col min="11014" max="11014" width="10.140625" customWidth="1"/>
    <col min="11267" max="11267" width="8.140625" customWidth="1"/>
    <col min="11268" max="11268" width="16" customWidth="1"/>
    <col min="11269" max="11269" width="18.85546875" customWidth="1"/>
    <col min="11270" max="11270" width="10.140625" customWidth="1"/>
    <col min="11523" max="11523" width="8.140625" customWidth="1"/>
    <col min="11524" max="11524" width="16" customWidth="1"/>
    <col min="11525" max="11525" width="18.85546875" customWidth="1"/>
    <col min="11526" max="11526" width="10.140625" customWidth="1"/>
    <col min="11779" max="11779" width="8.140625" customWidth="1"/>
    <col min="11780" max="11780" width="16" customWidth="1"/>
    <col min="11781" max="11781" width="18.85546875" customWidth="1"/>
    <col min="11782" max="11782" width="10.140625" customWidth="1"/>
    <col min="12035" max="12035" width="8.140625" customWidth="1"/>
    <col min="12036" max="12036" width="16" customWidth="1"/>
    <col min="12037" max="12037" width="18.85546875" customWidth="1"/>
    <col min="12038" max="12038" width="10.140625" customWidth="1"/>
    <col min="12291" max="12291" width="8.140625" customWidth="1"/>
    <col min="12292" max="12292" width="16" customWidth="1"/>
    <col min="12293" max="12293" width="18.85546875" customWidth="1"/>
    <col min="12294" max="12294" width="10.140625" customWidth="1"/>
    <col min="12547" max="12547" width="8.140625" customWidth="1"/>
    <col min="12548" max="12548" width="16" customWidth="1"/>
    <col min="12549" max="12549" width="18.85546875" customWidth="1"/>
    <col min="12550" max="12550" width="10.140625" customWidth="1"/>
    <col min="12803" max="12803" width="8.140625" customWidth="1"/>
    <col min="12804" max="12804" width="16" customWidth="1"/>
    <col min="12805" max="12805" width="18.85546875" customWidth="1"/>
    <col min="12806" max="12806" width="10.140625" customWidth="1"/>
    <col min="13059" max="13059" width="8.140625" customWidth="1"/>
    <col min="13060" max="13060" width="16" customWidth="1"/>
    <col min="13061" max="13061" width="18.85546875" customWidth="1"/>
    <col min="13062" max="13062" width="10.140625" customWidth="1"/>
    <col min="13315" max="13315" width="8.140625" customWidth="1"/>
    <col min="13316" max="13316" width="16" customWidth="1"/>
    <col min="13317" max="13317" width="18.85546875" customWidth="1"/>
    <col min="13318" max="13318" width="10.140625" customWidth="1"/>
    <col min="13571" max="13571" width="8.140625" customWidth="1"/>
    <col min="13572" max="13572" width="16" customWidth="1"/>
    <col min="13573" max="13573" width="18.85546875" customWidth="1"/>
    <col min="13574" max="13574" width="10.140625" customWidth="1"/>
    <col min="13827" max="13827" width="8.140625" customWidth="1"/>
    <col min="13828" max="13828" width="16" customWidth="1"/>
    <col min="13829" max="13829" width="18.85546875" customWidth="1"/>
    <col min="13830" max="13830" width="10.140625" customWidth="1"/>
    <col min="14083" max="14083" width="8.140625" customWidth="1"/>
    <col min="14084" max="14084" width="16" customWidth="1"/>
    <col min="14085" max="14085" width="18.85546875" customWidth="1"/>
    <col min="14086" max="14086" width="10.140625" customWidth="1"/>
    <col min="14339" max="14339" width="8.140625" customWidth="1"/>
    <col min="14340" max="14340" width="16" customWidth="1"/>
    <col min="14341" max="14341" width="18.85546875" customWidth="1"/>
    <col min="14342" max="14342" width="10.140625" customWidth="1"/>
    <col min="14595" max="14595" width="8.140625" customWidth="1"/>
    <col min="14596" max="14596" width="16" customWidth="1"/>
    <col min="14597" max="14597" width="18.85546875" customWidth="1"/>
    <col min="14598" max="14598" width="10.140625" customWidth="1"/>
    <col min="14851" max="14851" width="8.140625" customWidth="1"/>
    <col min="14852" max="14852" width="16" customWidth="1"/>
    <col min="14853" max="14853" width="18.85546875" customWidth="1"/>
    <col min="14854" max="14854" width="10.140625" customWidth="1"/>
    <col min="15107" max="15107" width="8.140625" customWidth="1"/>
    <col min="15108" max="15108" width="16" customWidth="1"/>
    <col min="15109" max="15109" width="18.85546875" customWidth="1"/>
    <col min="15110" max="15110" width="10.140625" customWidth="1"/>
    <col min="15363" max="15363" width="8.140625" customWidth="1"/>
    <col min="15364" max="15364" width="16" customWidth="1"/>
    <col min="15365" max="15365" width="18.85546875" customWidth="1"/>
    <col min="15366" max="15366" width="10.140625" customWidth="1"/>
    <col min="15619" max="15619" width="8.140625" customWidth="1"/>
    <col min="15620" max="15620" width="16" customWidth="1"/>
    <col min="15621" max="15621" width="18.85546875" customWidth="1"/>
    <col min="15622" max="15622" width="10.140625" customWidth="1"/>
    <col min="15875" max="15875" width="8.140625" customWidth="1"/>
    <col min="15876" max="15876" width="16" customWidth="1"/>
    <col min="15877" max="15877" width="18.85546875" customWidth="1"/>
    <col min="15878" max="15878" width="10.140625" customWidth="1"/>
    <col min="16131" max="16131" width="8.140625" customWidth="1"/>
    <col min="16132" max="16132" width="16" customWidth="1"/>
    <col min="16133" max="16133" width="18.85546875" customWidth="1"/>
    <col min="16134" max="16134" width="10.140625" customWidth="1"/>
  </cols>
  <sheetData>
    <row r="1" spans="1:8" ht="15.75" thickBot="1">
      <c r="B1" s="137" t="s">
        <v>156</v>
      </c>
      <c r="C1" s="138"/>
      <c r="D1" s="138"/>
      <c r="E1" s="138"/>
      <c r="F1" s="139"/>
      <c r="H1" s="140" t="s">
        <v>157</v>
      </c>
    </row>
    <row r="2" spans="1:8">
      <c r="B2" s="141"/>
      <c r="C2" s="141"/>
      <c r="D2" s="141"/>
      <c r="E2" s="141"/>
      <c r="F2" s="141"/>
    </row>
    <row r="3" spans="1:8">
      <c r="A3" s="142" t="s">
        <v>158</v>
      </c>
      <c r="B3" s="141"/>
      <c r="C3" s="141"/>
      <c r="D3" s="141"/>
      <c r="E3" s="143" t="str">
        <f>"                                                                                   - the regulator starts folding back its switching frequency (Vin min @ 2 MHz)"</f>
        <v xml:space="preserve">                                                                                   - the regulator starts folding back its switching frequency (Vin min @ 2 MHz)</v>
      </c>
    </row>
    <row r="4" spans="1:8">
      <c r="E4" s="141" t="str">
        <f xml:space="preserve"> "                                      - the regulator loses regulation (Vin min (loss of reg) )"</f>
        <v xml:space="preserve">                                      - the regulator loses regulation (Vin min (loss of reg) )</v>
      </c>
    </row>
    <row r="5" spans="1:8">
      <c r="B5" s="144" t="s">
        <v>159</v>
      </c>
      <c r="C5" s="145">
        <v>3.3</v>
      </c>
    </row>
    <row r="6" spans="1:8" ht="15.75" thickBot="1"/>
    <row r="7" spans="1:8" ht="15.75" thickBot="1">
      <c r="C7" s="146" t="s">
        <v>160</v>
      </c>
      <c r="D7" s="147" t="s">
        <v>161</v>
      </c>
      <c r="E7" s="148" t="s">
        <v>162</v>
      </c>
    </row>
    <row r="8" spans="1:8">
      <c r="C8" s="149">
        <v>0.1</v>
      </c>
      <c r="D8" s="150">
        <f t="shared" ref="D8:D16" si="0">0.55*$C8+(1/0.9)*$C$5</f>
        <v>3.7216666666666667</v>
      </c>
      <c r="E8" s="151">
        <f t="shared" ref="E8:E16" si="1">0.55*$C8+(1/0.965)*$C$5</f>
        <v>3.4746891191709848</v>
      </c>
    </row>
    <row r="9" spans="1:8">
      <c r="C9" s="152">
        <v>0.2</v>
      </c>
      <c r="D9" s="153">
        <f t="shared" si="0"/>
        <v>3.7766666666666664</v>
      </c>
      <c r="E9" s="154">
        <f t="shared" si="1"/>
        <v>3.5296891191709845</v>
      </c>
    </row>
    <row r="10" spans="1:8">
      <c r="C10" s="152">
        <v>0.5</v>
      </c>
      <c r="D10" s="153">
        <f t="shared" si="0"/>
        <v>3.9416666666666664</v>
      </c>
      <c r="E10" s="154">
        <f t="shared" si="1"/>
        <v>3.6946891191709845</v>
      </c>
    </row>
    <row r="11" spans="1:8">
      <c r="C11" s="152">
        <v>0.8</v>
      </c>
      <c r="D11" s="153">
        <f t="shared" si="0"/>
        <v>4.1066666666666665</v>
      </c>
      <c r="E11" s="154">
        <f t="shared" si="1"/>
        <v>3.8596891191709846</v>
      </c>
    </row>
    <row r="12" spans="1:8">
      <c r="C12" s="152">
        <v>1</v>
      </c>
      <c r="D12" s="153">
        <f t="shared" si="0"/>
        <v>4.2166666666666668</v>
      </c>
      <c r="E12" s="154">
        <f t="shared" si="1"/>
        <v>3.9696891191709849</v>
      </c>
    </row>
    <row r="13" spans="1:8">
      <c r="C13" s="152">
        <v>1.2</v>
      </c>
      <c r="D13" s="153">
        <f t="shared" si="0"/>
        <v>4.3266666666666662</v>
      </c>
      <c r="E13" s="154">
        <f t="shared" si="1"/>
        <v>4.0796891191709843</v>
      </c>
    </row>
    <row r="14" spans="1:8">
      <c r="C14" s="152">
        <v>1.5</v>
      </c>
      <c r="D14" s="153">
        <f t="shared" si="0"/>
        <v>4.4916666666666663</v>
      </c>
      <c r="E14" s="154">
        <f t="shared" si="1"/>
        <v>4.2446891191709843</v>
      </c>
    </row>
    <row r="15" spans="1:8">
      <c r="C15" s="152">
        <v>1.8</v>
      </c>
      <c r="D15" s="153">
        <f t="shared" si="0"/>
        <v>4.6566666666666663</v>
      </c>
      <c r="E15" s="154">
        <f t="shared" si="1"/>
        <v>4.4096891191709844</v>
      </c>
    </row>
    <row r="16" spans="1:8" ht="15.75" thickBot="1">
      <c r="C16" s="155">
        <v>2</v>
      </c>
      <c r="D16" s="156">
        <f t="shared" si="0"/>
        <v>4.7666666666666666</v>
      </c>
      <c r="E16" s="157">
        <f t="shared" si="1"/>
        <v>4.5196891191709847</v>
      </c>
    </row>
    <row r="17" spans="2:2">
      <c r="B17" t="s">
        <v>163</v>
      </c>
    </row>
  </sheetData>
  <sheetProtection password="F725" sheet="1" objects="1" scenarios="1" selectLockedCells="1"/>
  <mergeCells count="1">
    <mergeCell ref="B1:F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42</vt:i4>
      </vt:variant>
    </vt:vector>
  </HeadingPairs>
  <TitlesOfParts>
    <vt:vector size="45" baseType="lpstr">
      <vt:lpstr>Design tool</vt:lpstr>
      <vt:lpstr>Typ Max load Thermal results</vt:lpstr>
      <vt:lpstr>Minimum Vin</vt:lpstr>
      <vt:lpstr>Cesr</vt:lpstr>
      <vt:lpstr>com_c1</vt:lpstr>
      <vt:lpstr>comp_C1</vt:lpstr>
      <vt:lpstr>comp_C2</vt:lpstr>
      <vt:lpstr>comp_R2</vt:lpstr>
      <vt:lpstr>Cout</vt:lpstr>
      <vt:lpstr>D</vt:lpstr>
      <vt:lpstr>D_</vt:lpstr>
      <vt:lpstr>Dmax</vt:lpstr>
      <vt:lpstr>Enter_Values</vt:lpstr>
      <vt:lpstr>Fsw</vt:lpstr>
      <vt:lpstr>FswMax</vt:lpstr>
      <vt:lpstr>FswNom</vt:lpstr>
      <vt:lpstr>gm</vt:lpstr>
      <vt:lpstr>Iout</vt:lpstr>
      <vt:lpstr>Iq</vt:lpstr>
      <vt:lpstr>L</vt:lpstr>
      <vt:lpstr>LDOLoad</vt:lpstr>
      <vt:lpstr>LoadRef</vt:lpstr>
      <vt:lpstr>mc</vt:lpstr>
      <vt:lpstr>OutCur</vt:lpstr>
      <vt:lpstr>R0</vt:lpstr>
      <vt:lpstr>Rdson1p2A</vt:lpstr>
      <vt:lpstr>Rout</vt:lpstr>
      <vt:lpstr>Rout_</vt:lpstr>
      <vt:lpstr>Rthetaja</vt:lpstr>
      <vt:lpstr>sssss</vt:lpstr>
      <vt:lpstr>SWscaling</vt:lpstr>
      <vt:lpstr>SWscaling3</vt:lpstr>
      <vt:lpstr>t1ref</vt:lpstr>
      <vt:lpstr>t2ref</vt:lpstr>
      <vt:lpstr>t3ref</vt:lpstr>
      <vt:lpstr>t4ref</vt:lpstr>
      <vt:lpstr>Tsw_</vt:lpstr>
      <vt:lpstr>UseLDO</vt:lpstr>
      <vt:lpstr>Vdiode</vt:lpstr>
      <vt:lpstr>Vinref</vt:lpstr>
      <vt:lpstr>Vout</vt:lpstr>
      <vt:lpstr>Vout_</vt:lpstr>
      <vt:lpstr>wp1e</vt:lpstr>
      <vt:lpstr>wp2e</vt:lpstr>
      <vt:lpstr>wz2e</vt:lpstr>
    </vt:vector>
  </TitlesOfParts>
  <Company>ON Semiconductor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Bochuan Liu</dc:creator>
  <cp:lastModifiedBy>Bochuan Liu</cp:lastModifiedBy>
  <dcterms:created xsi:type="dcterms:W3CDTF">2014-08-04T21:40:23Z</dcterms:created>
  <dcterms:modified xsi:type="dcterms:W3CDTF">2014-11-21T19:29:06Z</dcterms:modified>
</cp:coreProperties>
</file>